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mc:AlternateContent xmlns:mc="http://schemas.openxmlformats.org/markup-compatibility/2006">
    <mc:Choice Requires="x15">
      <x15ac:absPath xmlns:x15ac="http://schemas.microsoft.com/office/spreadsheetml/2010/11/ac" url="C:\inetpub\wwwroot\EXSI\templates2007\"/>
    </mc:Choice>
  </mc:AlternateContent>
  <xr:revisionPtr revIDLastSave="0" documentId="13_ncr:1_{E494DC81-F1D9-4935-86A0-91C708EF57C1}" xr6:coauthVersionLast="47" xr6:coauthVersionMax="47" xr10:uidLastSave="{00000000-0000-0000-0000-000000000000}"/>
  <bookViews>
    <workbookView xWindow="-108" yWindow="-108" windowWidth="23256" windowHeight="12456" tabRatio="786" xr2:uid="{00000000-000D-0000-FFFF-FFFF00000000}"/>
  </bookViews>
  <sheets>
    <sheet name="About" sheetId="8" r:id="rId1"/>
    <sheet name="Instructions" sheetId="7" r:id="rId2"/>
    <sheet name="BondCalculator" sheetId="3" r:id="rId3"/>
    <sheet name="NetDisposable" sheetId="4" r:id="rId4"/>
    <sheet name="AnnualAmort" sheetId="6" r:id="rId5"/>
    <sheet name="MonthAmort" sheetId="5" r:id="rId6"/>
  </sheets>
  <definedNames>
    <definedName name="_xlnm.Print_Area" localSheetId="4">AnnualAmort!$A$1:$G$33</definedName>
    <definedName name="_xlnm.Print_Titles" localSheetId="4">AnnualAmort!$1:$3</definedName>
    <definedName name="_xlnm.Print_Titles" localSheetId="1">Instructions!$1:$4</definedName>
    <definedName name="_xlnm.Print_Titles" localSheetId="5">MonthAmort!$1:$3</definedName>
    <definedName name="_xlnm.Print_Titles" localSheetId="3">NetDisposable!$1:$1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29" i="3" l="1"/>
  <c r="A28" i="3" l="1"/>
  <c r="B4" i="6" l="1"/>
  <c r="C4" i="5"/>
  <c r="E4" i="5" s="1"/>
  <c r="B12" i="3"/>
  <c r="C8" i="4"/>
  <c r="C17" i="4"/>
  <c r="C25" i="4"/>
  <c r="C32" i="4" s="1"/>
  <c r="F27" i="4"/>
  <c r="C33" i="4" s="1"/>
  <c r="I11" i="4"/>
  <c r="C34" i="4" s="1"/>
  <c r="B29" i="3"/>
  <c r="J4" i="5"/>
  <c r="L4" i="5" s="1"/>
  <c r="Q4" i="5"/>
  <c r="Q5" i="5"/>
  <c r="Q6" i="5"/>
  <c r="Q7" i="5"/>
  <c r="Q8" i="5"/>
  <c r="Q9" i="5"/>
  <c r="Q10" i="5"/>
  <c r="Q11" i="5"/>
  <c r="Q12" i="5"/>
  <c r="Q13" i="5"/>
  <c r="Q14" i="5"/>
  <c r="Q15" i="5"/>
  <c r="Q16" i="5"/>
  <c r="Q17" i="5"/>
  <c r="Q18" i="5"/>
  <c r="Q19" i="5"/>
  <c r="Q20" i="5"/>
  <c r="Q21" i="5"/>
  <c r="Q22" i="5"/>
  <c r="Q23" i="5"/>
  <c r="Q24" i="5"/>
  <c r="Q25" i="5"/>
  <c r="Q26" i="5"/>
  <c r="Q27" i="5"/>
  <c r="Q28" i="5"/>
  <c r="Q29" i="5"/>
  <c r="Q30" i="5"/>
  <c r="Q31" i="5"/>
  <c r="Q32" i="5"/>
  <c r="Q33" i="5"/>
  <c r="Q34" i="5"/>
  <c r="Q35" i="5"/>
  <c r="Q36" i="5"/>
  <c r="Q37" i="5"/>
  <c r="Q38" i="5"/>
  <c r="Q39" i="5"/>
  <c r="Q40" i="5"/>
  <c r="Q41" i="5"/>
  <c r="Q42" i="5"/>
  <c r="Q43" i="5"/>
  <c r="Q44" i="5"/>
  <c r="Q45" i="5"/>
  <c r="Q46" i="5"/>
  <c r="Q47" i="5"/>
  <c r="Q48" i="5"/>
  <c r="Q49" i="5"/>
  <c r="Q50" i="5"/>
  <c r="Q51" i="5"/>
  <c r="Q52" i="5"/>
  <c r="Q53" i="5"/>
  <c r="Q54" i="5"/>
  <c r="Q55" i="5"/>
  <c r="Q56" i="5"/>
  <c r="Q57" i="5"/>
  <c r="Q58" i="5"/>
  <c r="Q59" i="5"/>
  <c r="Q60" i="5"/>
  <c r="Q61" i="5"/>
  <c r="Q62" i="5"/>
  <c r="Q63" i="5"/>
  <c r="Q64" i="5"/>
  <c r="Q65" i="5"/>
  <c r="Q66" i="5"/>
  <c r="Q67" i="5"/>
  <c r="Q68" i="5"/>
  <c r="Q69" i="5"/>
  <c r="Q70" i="5"/>
  <c r="Q71" i="5"/>
  <c r="Q72" i="5"/>
  <c r="Q73" i="5"/>
  <c r="Q74" i="5"/>
  <c r="Q75" i="5"/>
  <c r="Q76" i="5"/>
  <c r="Q77" i="5"/>
  <c r="Q78" i="5"/>
  <c r="Q79" i="5"/>
  <c r="Q80" i="5"/>
  <c r="Q81" i="5"/>
  <c r="Q82" i="5"/>
  <c r="Q83" i="5"/>
  <c r="Q84" i="5"/>
  <c r="Q85" i="5"/>
  <c r="Q86" i="5"/>
  <c r="Q87" i="5"/>
  <c r="Q88" i="5"/>
  <c r="Q89" i="5"/>
  <c r="Q90" i="5"/>
  <c r="Q91" i="5"/>
  <c r="Q92" i="5"/>
  <c r="Q93" i="5"/>
  <c r="Q94" i="5"/>
  <c r="Q95" i="5"/>
  <c r="Q96" i="5"/>
  <c r="Q97" i="5"/>
  <c r="Q98" i="5"/>
  <c r="Q99" i="5"/>
  <c r="Q100" i="5"/>
  <c r="Q101" i="5"/>
  <c r="Q102" i="5"/>
  <c r="Q103" i="5"/>
  <c r="Q104" i="5"/>
  <c r="Q105" i="5"/>
  <c r="Q106" i="5"/>
  <c r="Q107" i="5"/>
  <c r="Q108" i="5"/>
  <c r="Q109" i="5"/>
  <c r="Q110" i="5"/>
  <c r="Q111" i="5"/>
  <c r="Q112" i="5"/>
  <c r="Q113" i="5"/>
  <c r="Q114" i="5"/>
  <c r="Q115" i="5"/>
  <c r="Q116" i="5"/>
  <c r="Q117" i="5"/>
  <c r="Q118" i="5"/>
  <c r="Q119" i="5"/>
  <c r="Q120" i="5"/>
  <c r="Q121" i="5"/>
  <c r="Q122" i="5"/>
  <c r="Q123" i="5"/>
  <c r="Q124" i="5"/>
  <c r="Q125" i="5"/>
  <c r="Q126" i="5"/>
  <c r="Q127" i="5"/>
  <c r="Q128" i="5"/>
  <c r="Q129" i="5"/>
  <c r="Q130" i="5"/>
  <c r="Q131" i="5"/>
  <c r="Q132" i="5"/>
  <c r="Q133" i="5"/>
  <c r="Q134" i="5"/>
  <c r="Q135" i="5"/>
  <c r="Q136" i="5"/>
  <c r="Q137" i="5"/>
  <c r="Q138" i="5"/>
  <c r="Q139" i="5"/>
  <c r="Q140" i="5"/>
  <c r="Q141" i="5"/>
  <c r="Q142" i="5"/>
  <c r="Q143" i="5"/>
  <c r="Q144" i="5"/>
  <c r="Q145" i="5"/>
  <c r="Q146" i="5"/>
  <c r="Q147" i="5"/>
  <c r="Q148" i="5"/>
  <c r="Q149" i="5"/>
  <c r="Q150" i="5"/>
  <c r="Q151" i="5"/>
  <c r="Q152" i="5"/>
  <c r="Q153" i="5"/>
  <c r="Q154" i="5"/>
  <c r="Q155" i="5"/>
  <c r="Q156" i="5"/>
  <c r="Q157" i="5"/>
  <c r="Q158" i="5"/>
  <c r="Q159" i="5"/>
  <c r="Q160" i="5"/>
  <c r="Q161" i="5"/>
  <c r="Q162" i="5"/>
  <c r="Q163" i="5"/>
  <c r="Q164" i="5"/>
  <c r="Q165" i="5"/>
  <c r="Q166" i="5"/>
  <c r="Q167" i="5"/>
  <c r="Q168" i="5"/>
  <c r="Q169" i="5"/>
  <c r="Q170" i="5"/>
  <c r="Q171" i="5"/>
  <c r="Q172" i="5"/>
  <c r="Q173" i="5"/>
  <c r="Q174" i="5"/>
  <c r="Q175" i="5"/>
  <c r="Q176" i="5"/>
  <c r="Q177" i="5"/>
  <c r="Q178" i="5"/>
  <c r="Q179" i="5"/>
  <c r="Q180" i="5"/>
  <c r="Q181" i="5"/>
  <c r="Q182" i="5"/>
  <c r="Q183" i="5"/>
  <c r="Q184" i="5"/>
  <c r="Q185" i="5"/>
  <c r="Q186" i="5"/>
  <c r="Q187" i="5"/>
  <c r="Q188" i="5"/>
  <c r="Q189" i="5"/>
  <c r="Q190" i="5"/>
  <c r="Q191" i="5"/>
  <c r="Q192" i="5"/>
  <c r="Q193" i="5"/>
  <c r="Q194" i="5"/>
  <c r="Q195" i="5"/>
  <c r="Q196" i="5"/>
  <c r="Q197" i="5"/>
  <c r="Q198" i="5"/>
  <c r="Q199" i="5"/>
  <c r="Q200" i="5"/>
  <c r="Q201" i="5"/>
  <c r="Q202" i="5"/>
  <c r="Q203" i="5"/>
  <c r="Q204" i="5"/>
  <c r="Q205" i="5"/>
  <c r="Q206" i="5"/>
  <c r="Q207" i="5"/>
  <c r="Q208" i="5"/>
  <c r="Q209" i="5"/>
  <c r="Q210" i="5"/>
  <c r="Q211" i="5"/>
  <c r="Q212" i="5"/>
  <c r="Q213" i="5"/>
  <c r="Q214" i="5"/>
  <c r="Q215" i="5"/>
  <c r="Q216" i="5"/>
  <c r="Q217" i="5"/>
  <c r="Q218" i="5"/>
  <c r="Q219" i="5"/>
  <c r="Q220" i="5"/>
  <c r="Q221" i="5"/>
  <c r="Q222" i="5"/>
  <c r="Q223" i="5"/>
  <c r="Q224" i="5"/>
  <c r="Q225" i="5"/>
  <c r="Q226" i="5"/>
  <c r="Q227" i="5"/>
  <c r="Q228" i="5"/>
  <c r="Q229" i="5"/>
  <c r="Q230" i="5"/>
  <c r="Q231" i="5"/>
  <c r="Q232" i="5"/>
  <c r="Q233" i="5"/>
  <c r="Q234" i="5"/>
  <c r="Q235" i="5"/>
  <c r="Q236" i="5"/>
  <c r="Q237" i="5"/>
  <c r="Q238" i="5"/>
  <c r="Q239" i="5"/>
  <c r="Q240" i="5"/>
  <c r="Q241" i="5"/>
  <c r="Q242" i="5"/>
  <c r="Q243" i="5"/>
  <c r="Q244" i="5"/>
  <c r="Q245" i="5"/>
  <c r="Q246" i="5"/>
  <c r="Q247" i="5"/>
  <c r="Q248" i="5"/>
  <c r="Q249" i="5"/>
  <c r="Q250" i="5"/>
  <c r="Q251" i="5"/>
  <c r="Q252" i="5"/>
  <c r="Q253" i="5"/>
  <c r="Q254" i="5"/>
  <c r="Q255" i="5"/>
  <c r="Q256" i="5"/>
  <c r="Q257" i="5"/>
  <c r="Q258" i="5"/>
  <c r="Q259" i="5"/>
  <c r="Q260" i="5"/>
  <c r="Q261" i="5"/>
  <c r="Q262" i="5"/>
  <c r="Q263" i="5"/>
  <c r="Q264" i="5"/>
  <c r="Q265" i="5"/>
  <c r="Q266" i="5"/>
  <c r="Q267" i="5"/>
  <c r="Q268" i="5"/>
  <c r="Q269" i="5"/>
  <c r="Q270" i="5"/>
  <c r="Q271" i="5"/>
  <c r="Q272" i="5"/>
  <c r="Q273" i="5"/>
  <c r="Q274" i="5"/>
  <c r="Q275" i="5"/>
  <c r="Q276" i="5"/>
  <c r="Q277" i="5"/>
  <c r="Q278" i="5"/>
  <c r="Q279" i="5"/>
  <c r="Q280" i="5"/>
  <c r="Q281" i="5"/>
  <c r="Q282" i="5"/>
  <c r="Q283" i="5"/>
  <c r="Q284" i="5"/>
  <c r="Q285" i="5"/>
  <c r="Q286" i="5"/>
  <c r="Q287" i="5"/>
  <c r="Q288" i="5"/>
  <c r="Q289" i="5"/>
  <c r="Q290" i="5"/>
  <c r="Q291" i="5"/>
  <c r="Q292" i="5"/>
  <c r="Q293" i="5"/>
  <c r="Q294" i="5"/>
  <c r="Q295" i="5"/>
  <c r="Q296" i="5"/>
  <c r="Q297" i="5"/>
  <c r="Q298" i="5"/>
  <c r="Q299" i="5"/>
  <c r="Q300" i="5"/>
  <c r="Q301" i="5"/>
  <c r="Q302" i="5"/>
  <c r="Q303" i="5"/>
  <c r="Q304" i="5"/>
  <c r="Q305" i="5"/>
  <c r="Q306" i="5"/>
  <c r="Q307" i="5"/>
  <c r="Q308" i="5"/>
  <c r="Q309" i="5"/>
  <c r="Q310" i="5"/>
  <c r="Q311" i="5"/>
  <c r="Q312" i="5"/>
  <c r="Q313" i="5"/>
  <c r="Q314" i="5"/>
  <c r="Q315" i="5"/>
  <c r="Q316" i="5"/>
  <c r="Q317" i="5"/>
  <c r="Q318" i="5"/>
  <c r="Q319" i="5"/>
  <c r="Q320" i="5"/>
  <c r="Q321" i="5"/>
  <c r="Q322" i="5"/>
  <c r="Q323" i="5"/>
  <c r="Q324" i="5"/>
  <c r="Q325" i="5"/>
  <c r="Q326" i="5"/>
  <c r="Q327" i="5"/>
  <c r="Q328" i="5"/>
  <c r="Q329" i="5"/>
  <c r="Q330" i="5"/>
  <c r="Q331" i="5"/>
  <c r="Q332" i="5"/>
  <c r="Q333" i="5"/>
  <c r="Q334" i="5"/>
  <c r="Q335" i="5"/>
  <c r="Q336" i="5"/>
  <c r="Q337" i="5"/>
  <c r="Q338" i="5"/>
  <c r="Q339" i="5"/>
  <c r="Q340" i="5"/>
  <c r="Q341" i="5"/>
  <c r="Q342" i="5"/>
  <c r="Q343" i="5"/>
  <c r="Q344" i="5"/>
  <c r="Q345" i="5"/>
  <c r="Q346" i="5"/>
  <c r="Q347" i="5"/>
  <c r="Q348" i="5"/>
  <c r="Q349" i="5"/>
  <c r="Q350" i="5"/>
  <c r="Q351" i="5"/>
  <c r="Q352" i="5"/>
  <c r="Q353" i="5"/>
  <c r="Q354" i="5"/>
  <c r="Q355" i="5"/>
  <c r="Q356" i="5"/>
  <c r="Q357" i="5"/>
  <c r="Q358" i="5"/>
  <c r="Q359" i="5"/>
  <c r="Q360" i="5"/>
  <c r="Q361" i="5"/>
  <c r="Q362" i="5"/>
  <c r="Q363" i="5"/>
  <c r="C4" i="6" l="1"/>
  <c r="C18" i="4"/>
  <c r="C31" i="4" s="1"/>
  <c r="C35" i="4" s="1"/>
  <c r="B16" i="3" s="1"/>
  <c r="B17" i="3" s="1"/>
  <c r="B14" i="3"/>
  <c r="B13" i="3" s="1"/>
  <c r="B18" i="3"/>
  <c r="B28" i="3"/>
  <c r="B30" i="3" s="1"/>
  <c r="B21" i="3"/>
  <c r="B23" i="3" s="1"/>
  <c r="B24" i="3" s="1"/>
  <c r="K4" i="5"/>
  <c r="M4" i="5" s="1"/>
  <c r="N4" i="5" s="1"/>
  <c r="J5" i="5" s="1"/>
  <c r="D4" i="5"/>
  <c r="F4" i="5" s="1"/>
  <c r="G4" i="5" s="1"/>
  <c r="P4" i="5"/>
  <c r="S4" i="5" s="1"/>
  <c r="K5" i="5" l="1"/>
  <c r="B19" i="3"/>
  <c r="C5" i="5"/>
  <c r="D5" i="5"/>
  <c r="H4" i="5"/>
  <c r="L5" i="5"/>
  <c r="E5" i="5" l="1"/>
  <c r="M5" i="5"/>
  <c r="N5" i="5" s="1"/>
  <c r="K6" i="5" l="1"/>
  <c r="J6" i="5"/>
  <c r="P5" i="5"/>
  <c r="F5" i="5"/>
  <c r="G5" i="5" l="1"/>
  <c r="S5" i="5"/>
  <c r="L6" i="5"/>
  <c r="M6" i="5" s="1"/>
  <c r="N6" i="5" s="1"/>
  <c r="K7" i="5" l="1"/>
  <c r="J7" i="5"/>
  <c r="D6" i="5"/>
  <c r="H5" i="5"/>
  <c r="C6" i="5"/>
  <c r="E6" i="5" l="1"/>
  <c r="L7" i="5"/>
  <c r="P6" i="5" l="1"/>
  <c r="M7" i="5"/>
  <c r="N7" i="5" s="1"/>
  <c r="F6" i="5"/>
  <c r="G6" i="5" l="1"/>
  <c r="S6" i="5"/>
  <c r="J8" i="5"/>
  <c r="K8" i="5"/>
  <c r="L8" i="5" l="1"/>
  <c r="M8" i="5" s="1"/>
  <c r="N8" i="5" s="1"/>
  <c r="D7" i="5"/>
  <c r="C7" i="5"/>
  <c r="H6" i="5"/>
  <c r="J9" i="5" l="1"/>
  <c r="K9" i="5"/>
  <c r="E7" i="5"/>
  <c r="P7" i="5" l="1"/>
  <c r="F7" i="5"/>
  <c r="L9" i="5"/>
  <c r="G7" i="5" l="1"/>
  <c r="M9" i="5"/>
  <c r="N9" i="5" s="1"/>
  <c r="S7" i="5"/>
  <c r="K10" i="5" l="1"/>
  <c r="J10" i="5"/>
  <c r="C8" i="5"/>
  <c r="D8" i="5"/>
  <c r="H7" i="5"/>
  <c r="E8" i="5" l="1"/>
  <c r="F8" i="5" s="1"/>
  <c r="L10" i="5"/>
  <c r="M10" i="5" s="1"/>
  <c r="N10" i="5" s="1"/>
  <c r="K11" i="5" l="1"/>
  <c r="J11" i="5"/>
  <c r="G8" i="5"/>
  <c r="P8" i="5"/>
  <c r="C9" i="5" l="1"/>
  <c r="D9" i="5"/>
  <c r="H8" i="5"/>
  <c r="L11" i="5"/>
  <c r="M11" i="5" s="1"/>
  <c r="N11" i="5" s="1"/>
  <c r="S8" i="5"/>
  <c r="J12" i="5" l="1"/>
  <c r="K12" i="5"/>
  <c r="E9" i="5"/>
  <c r="F9" i="5" s="1"/>
  <c r="G9" i="5" l="1"/>
  <c r="P9" i="5"/>
  <c r="L12" i="5"/>
  <c r="M12" i="5" s="1"/>
  <c r="N12" i="5" s="1"/>
  <c r="J13" i="5" l="1"/>
  <c r="K13" i="5"/>
  <c r="S9" i="5"/>
  <c r="C10" i="5"/>
  <c r="D10" i="5"/>
  <c r="H9" i="5"/>
  <c r="E10" i="5" l="1"/>
  <c r="P10" i="5" s="1"/>
  <c r="S10" i="5" s="1"/>
  <c r="L13" i="5"/>
  <c r="M13" i="5" s="1"/>
  <c r="N13" i="5" s="1"/>
  <c r="K14" i="5" l="1"/>
  <c r="J14" i="5"/>
  <c r="F10" i="5"/>
  <c r="G10" i="5" s="1"/>
  <c r="D11" i="5" l="1"/>
  <c r="C11" i="5"/>
  <c r="H10" i="5"/>
  <c r="L14" i="5"/>
  <c r="M14" i="5" s="1"/>
  <c r="N14" i="5" s="1"/>
  <c r="K15" i="5" l="1"/>
  <c r="J15" i="5"/>
  <c r="E11" i="5"/>
  <c r="P11" i="5" s="1"/>
  <c r="S11" i="5" s="1"/>
  <c r="L15" i="5" l="1"/>
  <c r="J4" i="6" s="1"/>
  <c r="F11" i="5"/>
  <c r="G11" i="5" s="1"/>
  <c r="M15" i="5" l="1"/>
  <c r="N15" i="5" s="1"/>
  <c r="K16" i="5" s="1"/>
  <c r="C12" i="5"/>
  <c r="D12" i="5"/>
  <c r="H11" i="5"/>
  <c r="J16" i="5" l="1"/>
  <c r="L16" i="5" s="1"/>
  <c r="M16" i="5" s="1"/>
  <c r="N16" i="5" s="1"/>
  <c r="E12" i="5"/>
  <c r="P12" i="5" s="1"/>
  <c r="S12" i="5" s="1"/>
  <c r="J17" i="5" l="1"/>
  <c r="K17" i="5"/>
  <c r="F12" i="5"/>
  <c r="G12" i="5" s="1"/>
  <c r="L17" i="5" l="1"/>
  <c r="M17" i="5" s="1"/>
  <c r="N17" i="5" s="1"/>
  <c r="C13" i="5"/>
  <c r="D13" i="5"/>
  <c r="H12" i="5"/>
  <c r="K18" i="5" l="1"/>
  <c r="J18" i="5"/>
  <c r="E13" i="5"/>
  <c r="P13" i="5" s="1"/>
  <c r="S13" i="5" s="1"/>
  <c r="L18" i="5" l="1"/>
  <c r="M18" i="5" s="1"/>
  <c r="N18" i="5" s="1"/>
  <c r="F13" i="5"/>
  <c r="G13" i="5" s="1"/>
  <c r="J19" i="5" l="1"/>
  <c r="K19" i="5"/>
  <c r="D14" i="5"/>
  <c r="C14" i="5"/>
  <c r="H13" i="5"/>
  <c r="E14" i="5" l="1"/>
  <c r="P14" i="5" s="1"/>
  <c r="S14" i="5" s="1"/>
  <c r="L19" i="5"/>
  <c r="M19" i="5" s="1"/>
  <c r="N19" i="5" s="1"/>
  <c r="J20" i="5" l="1"/>
  <c r="K20" i="5"/>
  <c r="F14" i="5"/>
  <c r="G14" i="5" s="1"/>
  <c r="L20" i="5" l="1"/>
  <c r="M20" i="5" s="1"/>
  <c r="N20" i="5" s="1"/>
  <c r="D15" i="5"/>
  <c r="C15" i="5"/>
  <c r="H14" i="5"/>
  <c r="J21" i="5" l="1"/>
  <c r="K21" i="5"/>
  <c r="E15" i="5"/>
  <c r="P15" i="5" l="1"/>
  <c r="S15" i="5" s="1"/>
  <c r="D4" i="6"/>
  <c r="F15" i="5"/>
  <c r="L21" i="5"/>
  <c r="M21" i="5" s="1"/>
  <c r="N21" i="5" s="1"/>
  <c r="K22" i="5" l="1"/>
  <c r="J22" i="5"/>
  <c r="I4" i="6"/>
  <c r="E4" i="6"/>
  <c r="G15" i="5"/>
  <c r="L22" i="5" l="1"/>
  <c r="M22" i="5" s="1"/>
  <c r="N22" i="5" s="1"/>
  <c r="C16" i="5"/>
  <c r="D16" i="5"/>
  <c r="H15" i="5"/>
  <c r="K4" i="6"/>
  <c r="F4" i="6"/>
  <c r="K23" i="5" l="1"/>
  <c r="J23" i="5"/>
  <c r="G4" i="6"/>
  <c r="B5" i="6"/>
  <c r="E16" i="5"/>
  <c r="F16" i="5" s="1"/>
  <c r="G16" i="5" l="1"/>
  <c r="C5" i="6"/>
  <c r="L23" i="5"/>
  <c r="M23" i="5" s="1"/>
  <c r="N23" i="5" s="1"/>
  <c r="P16" i="5"/>
  <c r="S16" i="5" s="1"/>
  <c r="J24" i="5" l="1"/>
  <c r="K24" i="5"/>
  <c r="C17" i="5"/>
  <c r="D17" i="5"/>
  <c r="H16" i="5"/>
  <c r="E17" i="5" l="1"/>
  <c r="L24" i="5"/>
  <c r="M24" i="5" s="1"/>
  <c r="N24" i="5" s="1"/>
  <c r="J25" i="5" l="1"/>
  <c r="K25" i="5"/>
  <c r="P17" i="5"/>
  <c r="S17" i="5" s="1"/>
  <c r="F17" i="5"/>
  <c r="G17" i="5" l="1"/>
  <c r="L25" i="5"/>
  <c r="M25" i="5" s="1"/>
  <c r="N25" i="5" s="1"/>
  <c r="K26" i="5" l="1"/>
  <c r="J26" i="5"/>
  <c r="C18" i="5"/>
  <c r="D18" i="5"/>
  <c r="H17" i="5"/>
  <c r="L26" i="5" l="1"/>
  <c r="M26" i="5" s="1"/>
  <c r="N26" i="5" s="1"/>
  <c r="E18" i="5"/>
  <c r="F18" i="5" s="1"/>
  <c r="G18" i="5" s="1"/>
  <c r="K27" i="5" l="1"/>
  <c r="J27" i="5"/>
  <c r="P18" i="5"/>
  <c r="S18" i="5" s="1"/>
  <c r="D19" i="5"/>
  <c r="C19" i="5"/>
  <c r="H18" i="5"/>
  <c r="E19" i="5" l="1"/>
  <c r="F19" i="5" s="1"/>
  <c r="L27" i="5"/>
  <c r="J5" i="6" s="1"/>
  <c r="G19" i="5" l="1"/>
  <c r="M27" i="5"/>
  <c r="N27" i="5" s="1"/>
  <c r="P19" i="5"/>
  <c r="S19" i="5" s="1"/>
  <c r="J28" i="5" l="1"/>
  <c r="K28" i="5"/>
  <c r="C20" i="5"/>
  <c r="D20" i="5"/>
  <c r="H19" i="5"/>
  <c r="E20" i="5" l="1"/>
  <c r="L28" i="5"/>
  <c r="M28" i="5" s="1"/>
  <c r="N28" i="5" s="1"/>
  <c r="J29" i="5" l="1"/>
  <c r="K29" i="5"/>
  <c r="P20" i="5"/>
  <c r="S20" i="5" s="1"/>
  <c r="F20" i="5"/>
  <c r="G20" i="5" s="1"/>
  <c r="C21" i="5" l="1"/>
  <c r="D21" i="5"/>
  <c r="H20" i="5"/>
  <c r="L29" i="5"/>
  <c r="M29" i="5" s="1"/>
  <c r="N29" i="5" s="1"/>
  <c r="K30" i="5" l="1"/>
  <c r="J30" i="5"/>
  <c r="E21" i="5"/>
  <c r="P21" i="5" s="1"/>
  <c r="S21" i="5" s="1"/>
  <c r="F21" i="5" l="1"/>
  <c r="G21" i="5" s="1"/>
  <c r="L30" i="5"/>
  <c r="M30" i="5" s="1"/>
  <c r="N30" i="5" s="1"/>
  <c r="K31" i="5" l="1"/>
  <c r="J31" i="5"/>
  <c r="D22" i="5"/>
  <c r="C22" i="5"/>
  <c r="H21" i="5"/>
  <c r="E22" i="5" l="1"/>
  <c r="P22" i="5" s="1"/>
  <c r="S22" i="5" s="1"/>
  <c r="L31" i="5"/>
  <c r="M31" i="5" s="1"/>
  <c r="N31" i="5" s="1"/>
  <c r="F22" i="5" l="1"/>
  <c r="G22" i="5" s="1"/>
  <c r="H22" i="5" s="1"/>
  <c r="J32" i="5"/>
  <c r="K32" i="5"/>
  <c r="C23" i="5" l="1"/>
  <c r="E23" i="5" s="1"/>
  <c r="P23" i="5" s="1"/>
  <c r="S23" i="5" s="1"/>
  <c r="D23" i="5"/>
  <c r="L32" i="5"/>
  <c r="M32" i="5" s="1"/>
  <c r="N32" i="5" s="1"/>
  <c r="F23" i="5" l="1"/>
  <c r="G23" i="5" s="1"/>
  <c r="C24" i="5" s="1"/>
  <c r="J33" i="5"/>
  <c r="K33" i="5"/>
  <c r="H23" i="5" l="1"/>
  <c r="D24" i="5"/>
  <c r="E24" i="5"/>
  <c r="P24" i="5" s="1"/>
  <c r="S24" i="5" s="1"/>
  <c r="L33" i="5"/>
  <c r="M33" i="5" s="1"/>
  <c r="N33" i="5" s="1"/>
  <c r="K34" i="5" l="1"/>
  <c r="J34" i="5"/>
  <c r="F24" i="5"/>
  <c r="G24" i="5" s="1"/>
  <c r="C25" i="5" l="1"/>
  <c r="D25" i="5"/>
  <c r="H24" i="5"/>
  <c r="L34" i="5"/>
  <c r="M34" i="5" s="1"/>
  <c r="N34" i="5" s="1"/>
  <c r="K35" i="5" l="1"/>
  <c r="J35" i="5"/>
  <c r="E25" i="5"/>
  <c r="P25" i="5" s="1"/>
  <c r="S25" i="5" s="1"/>
  <c r="F25" i="5" l="1"/>
  <c r="G25" i="5" s="1"/>
  <c r="L35" i="5"/>
  <c r="M35" i="5" s="1"/>
  <c r="N35" i="5" s="1"/>
  <c r="J36" i="5" l="1"/>
  <c r="K36" i="5"/>
  <c r="C26" i="5"/>
  <c r="D26" i="5"/>
  <c r="H25" i="5"/>
  <c r="E26" i="5" l="1"/>
  <c r="P26" i="5" s="1"/>
  <c r="S26" i="5" s="1"/>
  <c r="L36" i="5"/>
  <c r="M36" i="5" s="1"/>
  <c r="N36" i="5" s="1"/>
  <c r="J37" i="5" l="1"/>
  <c r="K37" i="5"/>
  <c r="F26" i="5"/>
  <c r="G26" i="5" s="1"/>
  <c r="D27" i="5" l="1"/>
  <c r="C27" i="5"/>
  <c r="H26" i="5"/>
  <c r="L37" i="5"/>
  <c r="M37" i="5" s="1"/>
  <c r="N37" i="5" s="1"/>
  <c r="K38" i="5" l="1"/>
  <c r="J38" i="5"/>
  <c r="E27" i="5"/>
  <c r="P27" i="5" l="1"/>
  <c r="S27" i="5" s="1"/>
  <c r="D5" i="6"/>
  <c r="F27" i="5"/>
  <c r="L38" i="5"/>
  <c r="M38" i="5" s="1"/>
  <c r="N38" i="5" s="1"/>
  <c r="K39" i="5" l="1"/>
  <c r="J39" i="5"/>
  <c r="I5" i="6"/>
  <c r="E5" i="6"/>
  <c r="G27" i="5"/>
  <c r="K5" i="6" l="1"/>
  <c r="F5" i="6"/>
  <c r="L39" i="5"/>
  <c r="J6" i="6" s="1"/>
  <c r="C28" i="5"/>
  <c r="D28" i="5"/>
  <c r="H27" i="5"/>
  <c r="M39" i="5" l="1"/>
  <c r="N39" i="5" s="1"/>
  <c r="J40" i="5" s="1"/>
  <c r="G5" i="6"/>
  <c r="B6" i="6"/>
  <c r="E28" i="5"/>
  <c r="K40" i="5" l="1"/>
  <c r="P28" i="5"/>
  <c r="S28" i="5" s="1"/>
  <c r="F28" i="5"/>
  <c r="C6" i="6"/>
  <c r="L40" i="5"/>
  <c r="M40" i="5" s="1"/>
  <c r="N40" i="5" s="1"/>
  <c r="J41" i="5" l="1"/>
  <c r="K41" i="5"/>
  <c r="G28" i="5"/>
  <c r="L41" i="5" l="1"/>
  <c r="M41" i="5" s="1"/>
  <c r="N41" i="5" s="1"/>
  <c r="C29" i="5"/>
  <c r="D29" i="5"/>
  <c r="H28" i="5"/>
  <c r="K42" i="5" l="1"/>
  <c r="J42" i="5"/>
  <c r="E29" i="5"/>
  <c r="P29" i="5" l="1"/>
  <c r="S29" i="5" s="1"/>
  <c r="F29" i="5"/>
  <c r="L42" i="5"/>
  <c r="M42" i="5" s="1"/>
  <c r="N42" i="5" s="1"/>
  <c r="K43" i="5" l="1"/>
  <c r="J43" i="5"/>
  <c r="G29" i="5"/>
  <c r="D30" i="5" l="1"/>
  <c r="C30" i="5"/>
  <c r="H29" i="5"/>
  <c r="L43" i="5"/>
  <c r="M43" i="5" s="1"/>
  <c r="N43" i="5" s="1"/>
  <c r="J44" i="5" l="1"/>
  <c r="K44" i="5"/>
  <c r="E30" i="5"/>
  <c r="P30" i="5" l="1"/>
  <c r="S30" i="5" s="1"/>
  <c r="F30" i="5"/>
  <c r="L44" i="5"/>
  <c r="M44" i="5" s="1"/>
  <c r="N44" i="5" s="1"/>
  <c r="J45" i="5" l="1"/>
  <c r="K45" i="5"/>
  <c r="G30" i="5"/>
  <c r="D31" i="5" l="1"/>
  <c r="C31" i="5"/>
  <c r="H30" i="5"/>
  <c r="L45" i="5"/>
  <c r="M45" i="5" s="1"/>
  <c r="N45" i="5" s="1"/>
  <c r="K46" i="5" l="1"/>
  <c r="J46" i="5"/>
  <c r="E31" i="5"/>
  <c r="L46" i="5" l="1"/>
  <c r="M46" i="5" s="1"/>
  <c r="N46" i="5" s="1"/>
  <c r="P31" i="5"/>
  <c r="S31" i="5" s="1"/>
  <c r="F31" i="5"/>
  <c r="K47" i="5" l="1"/>
  <c r="J47" i="5"/>
  <c r="G31" i="5"/>
  <c r="C32" i="5" l="1"/>
  <c r="D32" i="5"/>
  <c r="H31" i="5"/>
  <c r="L47" i="5"/>
  <c r="M47" i="5" s="1"/>
  <c r="N47" i="5" s="1"/>
  <c r="J48" i="5" l="1"/>
  <c r="K48" i="5"/>
  <c r="E32" i="5"/>
  <c r="F32" i="5" s="1"/>
  <c r="G32" i="5" s="1"/>
  <c r="C33" i="5" l="1"/>
  <c r="D33" i="5"/>
  <c r="H32" i="5"/>
  <c r="P32" i="5"/>
  <c r="S32" i="5" s="1"/>
  <c r="L48" i="5"/>
  <c r="M48" i="5" s="1"/>
  <c r="N48" i="5" s="1"/>
  <c r="J49" i="5" l="1"/>
  <c r="K49" i="5"/>
  <c r="E33" i="5"/>
  <c r="P33" i="5" s="1"/>
  <c r="S33" i="5" s="1"/>
  <c r="F33" i="5" l="1"/>
  <c r="G33" i="5" s="1"/>
  <c r="L49" i="5"/>
  <c r="M49" i="5" s="1"/>
  <c r="N49" i="5" s="1"/>
  <c r="K50" i="5" l="1"/>
  <c r="J50" i="5"/>
  <c r="C34" i="5"/>
  <c r="D34" i="5"/>
  <c r="H33" i="5"/>
  <c r="L50" i="5" l="1"/>
  <c r="M50" i="5" s="1"/>
  <c r="N50" i="5" s="1"/>
  <c r="E34" i="5"/>
  <c r="P34" i="5" s="1"/>
  <c r="S34" i="5" s="1"/>
  <c r="K51" i="5" l="1"/>
  <c r="J51" i="5"/>
  <c r="F34" i="5"/>
  <c r="G34" i="5" s="1"/>
  <c r="L51" i="5" l="1"/>
  <c r="J7" i="6" s="1"/>
  <c r="D35" i="5"/>
  <c r="C35" i="5"/>
  <c r="H34" i="5"/>
  <c r="M51" i="5" l="1"/>
  <c r="N51" i="5" s="1"/>
  <c r="J52" i="5" s="1"/>
  <c r="E35" i="5"/>
  <c r="P35" i="5" s="1"/>
  <c r="S35" i="5" s="1"/>
  <c r="K52" i="5" l="1"/>
  <c r="F35" i="5"/>
  <c r="G35" i="5" s="1"/>
  <c r="L52" i="5"/>
  <c r="M52" i="5" l="1"/>
  <c r="N52" i="5" s="1"/>
  <c r="J53" i="5" s="1"/>
  <c r="C36" i="5"/>
  <c r="D36" i="5"/>
  <c r="H35" i="5"/>
  <c r="K53" i="5" l="1"/>
  <c r="E36" i="5"/>
  <c r="P36" i="5" s="1"/>
  <c r="S36" i="5" s="1"/>
  <c r="L53" i="5"/>
  <c r="M53" i="5" s="1"/>
  <c r="N53" i="5" s="1"/>
  <c r="F36" i="5" l="1"/>
  <c r="G36" i="5" s="1"/>
  <c r="C37" i="5" s="1"/>
  <c r="K54" i="5"/>
  <c r="J54" i="5"/>
  <c r="H36" i="5" l="1"/>
  <c r="D37" i="5"/>
  <c r="L54" i="5"/>
  <c r="M54" i="5" s="1"/>
  <c r="N54" i="5" s="1"/>
  <c r="E37" i="5"/>
  <c r="P37" i="5" s="1"/>
  <c r="S37" i="5" s="1"/>
  <c r="K55" i="5" l="1"/>
  <c r="J55" i="5"/>
  <c r="F37" i="5"/>
  <c r="G37" i="5" s="1"/>
  <c r="L55" i="5" l="1"/>
  <c r="M55" i="5" s="1"/>
  <c r="N55" i="5" s="1"/>
  <c r="D38" i="5"/>
  <c r="C38" i="5"/>
  <c r="H37" i="5"/>
  <c r="J56" i="5" l="1"/>
  <c r="K56" i="5"/>
  <c r="E38" i="5"/>
  <c r="P38" i="5" s="1"/>
  <c r="S38" i="5" s="1"/>
  <c r="F38" i="5" l="1"/>
  <c r="G38" i="5" s="1"/>
  <c r="L56" i="5"/>
  <c r="M56" i="5" s="1"/>
  <c r="N56" i="5" s="1"/>
  <c r="J57" i="5" l="1"/>
  <c r="K57" i="5"/>
  <c r="D39" i="5"/>
  <c r="C39" i="5"/>
  <c r="H38" i="5"/>
  <c r="E39" i="5" l="1"/>
  <c r="F39" i="5" s="1"/>
  <c r="E6" i="6" s="1"/>
  <c r="L57" i="5"/>
  <c r="M57" i="5" s="1"/>
  <c r="N57" i="5" s="1"/>
  <c r="K58" i="5" l="1"/>
  <c r="J58" i="5"/>
  <c r="G39" i="5"/>
  <c r="K6" i="6"/>
  <c r="F6" i="6"/>
  <c r="P39" i="5"/>
  <c r="S39" i="5" s="1"/>
  <c r="D6" i="6"/>
  <c r="G6" i="6" l="1"/>
  <c r="B7" i="6"/>
  <c r="C40" i="5"/>
  <c r="D40" i="5"/>
  <c r="H39" i="5"/>
  <c r="L58" i="5"/>
  <c r="M58" i="5" s="1"/>
  <c r="N58" i="5" s="1"/>
  <c r="I6" i="6"/>
  <c r="K59" i="5" l="1"/>
  <c r="J59" i="5"/>
  <c r="E40" i="5"/>
  <c r="F40" i="5" s="1"/>
  <c r="C7" i="6"/>
  <c r="G40" i="5" l="1"/>
  <c r="L59" i="5"/>
  <c r="M59" i="5" s="1"/>
  <c r="N59" i="5" s="1"/>
  <c r="P40" i="5"/>
  <c r="S40" i="5" s="1"/>
  <c r="J60" i="5" l="1"/>
  <c r="K60" i="5"/>
  <c r="C41" i="5"/>
  <c r="D41" i="5"/>
  <c r="H40" i="5"/>
  <c r="E41" i="5" l="1"/>
  <c r="F41" i="5" s="1"/>
  <c r="L60" i="5"/>
  <c r="M60" i="5" s="1"/>
  <c r="N60" i="5" s="1"/>
  <c r="J61" i="5" l="1"/>
  <c r="K61" i="5"/>
  <c r="P41" i="5"/>
  <c r="S41" i="5" s="1"/>
  <c r="G41" i="5"/>
  <c r="L61" i="5" l="1"/>
  <c r="M61" i="5" s="1"/>
  <c r="N61" i="5" s="1"/>
  <c r="C42" i="5"/>
  <c r="D42" i="5"/>
  <c r="H41" i="5"/>
  <c r="K62" i="5" l="1"/>
  <c r="J62" i="5"/>
  <c r="E42" i="5"/>
  <c r="P42" i="5" l="1"/>
  <c r="S42" i="5" s="1"/>
  <c r="F42" i="5"/>
  <c r="L62" i="5"/>
  <c r="M62" i="5" s="1"/>
  <c r="N62" i="5" s="1"/>
  <c r="K63" i="5" l="1"/>
  <c r="J63" i="5"/>
  <c r="G42" i="5"/>
  <c r="D43" i="5" l="1"/>
  <c r="C43" i="5"/>
  <c r="H42" i="5"/>
  <c r="L63" i="5"/>
  <c r="J8" i="6" s="1"/>
  <c r="E43" i="5" l="1"/>
  <c r="F43" i="5" s="1"/>
  <c r="M63" i="5"/>
  <c r="N63" i="5" s="1"/>
  <c r="J64" i="5" l="1"/>
  <c r="K64" i="5"/>
  <c r="G43" i="5"/>
  <c r="P43" i="5"/>
  <c r="S43" i="5" s="1"/>
  <c r="C44" i="5" l="1"/>
  <c r="D44" i="5"/>
  <c r="H43" i="5"/>
  <c r="L64" i="5"/>
  <c r="M64" i="5" s="1"/>
  <c r="N64" i="5" s="1"/>
  <c r="J65" i="5" l="1"/>
  <c r="K65" i="5"/>
  <c r="E44" i="5"/>
  <c r="F44" i="5" s="1"/>
  <c r="G44" i="5" s="1"/>
  <c r="C45" i="5" l="1"/>
  <c r="D45" i="5"/>
  <c r="H44" i="5"/>
  <c r="P44" i="5"/>
  <c r="S44" i="5" s="1"/>
  <c r="L65" i="5"/>
  <c r="M65" i="5" s="1"/>
  <c r="N65" i="5" s="1"/>
  <c r="K66" i="5" l="1"/>
  <c r="J66" i="5"/>
  <c r="E45" i="5"/>
  <c r="P45" i="5" s="1"/>
  <c r="S45" i="5" s="1"/>
  <c r="F45" i="5" l="1"/>
  <c r="G45" i="5" s="1"/>
  <c r="L66" i="5"/>
  <c r="M66" i="5" s="1"/>
  <c r="N66" i="5" s="1"/>
  <c r="K67" i="5" l="1"/>
  <c r="J67" i="5"/>
  <c r="D46" i="5"/>
  <c r="C46" i="5"/>
  <c r="H45" i="5"/>
  <c r="E46" i="5" l="1"/>
  <c r="P46" i="5" s="1"/>
  <c r="S46" i="5" s="1"/>
  <c r="L67" i="5"/>
  <c r="M67" i="5" s="1"/>
  <c r="N67" i="5" s="1"/>
  <c r="J68" i="5" l="1"/>
  <c r="K68" i="5"/>
  <c r="F46" i="5"/>
  <c r="G46" i="5" s="1"/>
  <c r="D47" i="5" l="1"/>
  <c r="C47" i="5"/>
  <c r="H46" i="5"/>
  <c r="L68" i="5"/>
  <c r="M68" i="5" s="1"/>
  <c r="N68" i="5" s="1"/>
  <c r="J69" i="5" l="1"/>
  <c r="K69" i="5"/>
  <c r="E47" i="5"/>
  <c r="P47" i="5" s="1"/>
  <c r="S47" i="5" s="1"/>
  <c r="F47" i="5" l="1"/>
  <c r="G47" i="5" s="1"/>
  <c r="L69" i="5"/>
  <c r="M69" i="5" s="1"/>
  <c r="N69" i="5" s="1"/>
  <c r="K70" i="5" l="1"/>
  <c r="J70" i="5"/>
  <c r="C48" i="5"/>
  <c r="D48" i="5"/>
  <c r="H47" i="5"/>
  <c r="L70" i="5" l="1"/>
  <c r="M70" i="5" s="1"/>
  <c r="N70" i="5" s="1"/>
  <c r="E48" i="5"/>
  <c r="P48" i="5" s="1"/>
  <c r="S48" i="5" s="1"/>
  <c r="K71" i="5" l="1"/>
  <c r="J71" i="5"/>
  <c r="F48" i="5"/>
  <c r="G48" i="5" s="1"/>
  <c r="L71" i="5" l="1"/>
  <c r="C49" i="5"/>
  <c r="D49" i="5"/>
  <c r="H48" i="5"/>
  <c r="M71" i="5"/>
  <c r="N71" i="5" s="1"/>
  <c r="J72" i="5" l="1"/>
  <c r="K72" i="5"/>
  <c r="E49" i="5"/>
  <c r="P49" i="5" s="1"/>
  <c r="S49" i="5" s="1"/>
  <c r="F49" i="5" l="1"/>
  <c r="G49" i="5" s="1"/>
  <c r="L72" i="5"/>
  <c r="M72" i="5" s="1"/>
  <c r="N72" i="5" s="1"/>
  <c r="J73" i="5" l="1"/>
  <c r="K73" i="5"/>
  <c r="C50" i="5"/>
  <c r="D50" i="5"/>
  <c r="H49" i="5"/>
  <c r="E50" i="5" l="1"/>
  <c r="P50" i="5" s="1"/>
  <c r="S50" i="5" s="1"/>
  <c r="L73" i="5"/>
  <c r="M73" i="5" s="1"/>
  <c r="N73" i="5" s="1"/>
  <c r="F50" i="5" l="1"/>
  <c r="G50" i="5" s="1"/>
  <c r="C51" i="5" s="1"/>
  <c r="K74" i="5"/>
  <c r="J74" i="5"/>
  <c r="H50" i="5" l="1"/>
  <c r="D51" i="5"/>
  <c r="E51" i="5"/>
  <c r="L74" i="5"/>
  <c r="M74" i="5" s="1"/>
  <c r="N74" i="5" s="1"/>
  <c r="K75" i="5" l="1"/>
  <c r="J75" i="5"/>
  <c r="P51" i="5"/>
  <c r="S51" i="5" s="1"/>
  <c r="D7" i="6"/>
  <c r="F51" i="5"/>
  <c r="I7" i="6" l="1"/>
  <c r="L75" i="5"/>
  <c r="J9" i="6" s="1"/>
  <c r="E7" i="6"/>
  <c r="G51" i="5"/>
  <c r="M75" i="5" l="1"/>
  <c r="N75" i="5" s="1"/>
  <c r="K76" i="5" s="1"/>
  <c r="K7" i="6"/>
  <c r="F7" i="6"/>
  <c r="C52" i="5"/>
  <c r="D52" i="5"/>
  <c r="H51" i="5"/>
  <c r="J76" i="5" l="1"/>
  <c r="L76" i="5" s="1"/>
  <c r="M76" i="5" s="1"/>
  <c r="N76" i="5" s="1"/>
  <c r="G7" i="6"/>
  <c r="B8" i="6"/>
  <c r="E52" i="5"/>
  <c r="F52" i="5" s="1"/>
  <c r="J77" i="5" l="1"/>
  <c r="K77" i="5"/>
  <c r="G52" i="5"/>
  <c r="C8" i="6"/>
  <c r="P52" i="5"/>
  <c r="S52" i="5" s="1"/>
  <c r="C53" i="5" l="1"/>
  <c r="D53" i="5"/>
  <c r="H52" i="5"/>
  <c r="L77" i="5"/>
  <c r="M77" i="5" s="1"/>
  <c r="N77" i="5" s="1"/>
  <c r="K78" i="5" l="1"/>
  <c r="J78" i="5"/>
  <c r="E53" i="5"/>
  <c r="F53" i="5" s="1"/>
  <c r="P53" i="5" l="1"/>
  <c r="S53" i="5" s="1"/>
  <c r="G53" i="5"/>
  <c r="L78" i="5"/>
  <c r="M78" i="5" s="1"/>
  <c r="N78" i="5" s="1"/>
  <c r="K79" i="5" l="1"/>
  <c r="J79" i="5"/>
  <c r="D54" i="5"/>
  <c r="C54" i="5"/>
  <c r="H53" i="5"/>
  <c r="E54" i="5" l="1"/>
  <c r="F54" i="5" s="1"/>
  <c r="G54" i="5" s="1"/>
  <c r="L79" i="5"/>
  <c r="M79" i="5" s="1"/>
  <c r="N79" i="5" s="1"/>
  <c r="J80" i="5" l="1"/>
  <c r="K80" i="5"/>
  <c r="D55" i="5"/>
  <c r="C55" i="5"/>
  <c r="H54" i="5"/>
  <c r="P54" i="5"/>
  <c r="S54" i="5" s="1"/>
  <c r="E55" i="5" l="1"/>
  <c r="L80" i="5"/>
  <c r="M80" i="5" s="1"/>
  <c r="N80" i="5" s="1"/>
  <c r="J81" i="5" l="1"/>
  <c r="K81" i="5"/>
  <c r="P55" i="5"/>
  <c r="S55" i="5" s="1"/>
  <c r="F55" i="5"/>
  <c r="G55" i="5" s="1"/>
  <c r="C56" i="5" l="1"/>
  <c r="D56" i="5"/>
  <c r="H55" i="5"/>
  <c r="L81" i="5"/>
  <c r="M81" i="5" s="1"/>
  <c r="N81" i="5" s="1"/>
  <c r="K82" i="5" l="1"/>
  <c r="J82" i="5"/>
  <c r="E56" i="5"/>
  <c r="F56" i="5" s="1"/>
  <c r="G56" i="5" s="1"/>
  <c r="C57" i="5" l="1"/>
  <c r="D57" i="5"/>
  <c r="H56" i="5"/>
  <c r="P56" i="5"/>
  <c r="S56" i="5" s="1"/>
  <c r="L82" i="5"/>
  <c r="M82" i="5" s="1"/>
  <c r="N82" i="5" s="1"/>
  <c r="K83" i="5" l="1"/>
  <c r="J83" i="5"/>
  <c r="E57" i="5"/>
  <c r="P57" i="5" s="1"/>
  <c r="S57" i="5" s="1"/>
  <c r="F57" i="5" l="1"/>
  <c r="G57" i="5" s="1"/>
  <c r="C58" i="5" s="1"/>
  <c r="L83" i="5"/>
  <c r="M83" i="5" s="1"/>
  <c r="N83" i="5" s="1"/>
  <c r="D58" i="5" l="1"/>
  <c r="H57" i="5"/>
  <c r="J84" i="5"/>
  <c r="K84" i="5"/>
  <c r="E58" i="5"/>
  <c r="P58" i="5" s="1"/>
  <c r="S58" i="5" s="1"/>
  <c r="F58" i="5" l="1"/>
  <c r="G58" i="5" s="1"/>
  <c r="D59" i="5" s="1"/>
  <c r="L84" i="5"/>
  <c r="M84" i="5" s="1"/>
  <c r="N84" i="5" s="1"/>
  <c r="C59" i="5" l="1"/>
  <c r="E59" i="5" s="1"/>
  <c r="P59" i="5" s="1"/>
  <c r="S59" i="5" s="1"/>
  <c r="H58" i="5"/>
  <c r="J85" i="5"/>
  <c r="K85" i="5"/>
  <c r="F59" i="5" l="1"/>
  <c r="G59" i="5" s="1"/>
  <c r="L85" i="5"/>
  <c r="M85" i="5" s="1"/>
  <c r="N85" i="5" s="1"/>
  <c r="K86" i="5" l="1"/>
  <c r="J86" i="5"/>
  <c r="C60" i="5"/>
  <c r="D60" i="5"/>
  <c r="H59" i="5"/>
  <c r="E60" i="5" l="1"/>
  <c r="P60" i="5" s="1"/>
  <c r="S60" i="5" s="1"/>
  <c r="L86" i="5"/>
  <c r="M86" i="5" s="1"/>
  <c r="N86" i="5" s="1"/>
  <c r="K87" i="5" l="1"/>
  <c r="J87" i="5"/>
  <c r="F60" i="5"/>
  <c r="G60" i="5" s="1"/>
  <c r="L87" i="5" l="1"/>
  <c r="J10" i="6" s="1"/>
  <c r="C61" i="5"/>
  <c r="D61" i="5"/>
  <c r="H60" i="5"/>
  <c r="M87" i="5" l="1"/>
  <c r="N87" i="5" s="1"/>
  <c r="J88" i="5" s="1"/>
  <c r="E61" i="5"/>
  <c r="P61" i="5" s="1"/>
  <c r="S61" i="5" s="1"/>
  <c r="K88" i="5" l="1"/>
  <c r="F61" i="5"/>
  <c r="G61" i="5" s="1"/>
  <c r="D62" i="5" s="1"/>
  <c r="L88" i="5"/>
  <c r="M88" i="5" l="1"/>
  <c r="N88" i="5" s="1"/>
  <c r="J89" i="5" s="1"/>
  <c r="H61" i="5"/>
  <c r="C62" i="5"/>
  <c r="E62" i="5" s="1"/>
  <c r="P62" i="5" s="1"/>
  <c r="S62" i="5" s="1"/>
  <c r="K89" i="5" l="1"/>
  <c r="F62" i="5"/>
  <c r="G62" i="5" s="1"/>
  <c r="L89" i="5"/>
  <c r="M89" i="5" s="1"/>
  <c r="N89" i="5" s="1"/>
  <c r="K90" i="5" l="1"/>
  <c r="J90" i="5"/>
  <c r="D63" i="5"/>
  <c r="C63" i="5"/>
  <c r="H62" i="5"/>
  <c r="E63" i="5" l="1"/>
  <c r="L90" i="5"/>
  <c r="M90" i="5" s="1"/>
  <c r="N90" i="5" s="1"/>
  <c r="K91" i="5" l="1"/>
  <c r="J91" i="5"/>
  <c r="P63" i="5"/>
  <c r="S63" i="5" s="1"/>
  <c r="D8" i="6"/>
  <c r="F63" i="5"/>
  <c r="I8" i="6" l="1"/>
  <c r="L91" i="5"/>
  <c r="M91" i="5" s="1"/>
  <c r="N91" i="5" s="1"/>
  <c r="E8" i="6"/>
  <c r="G63" i="5"/>
  <c r="J92" i="5" l="1"/>
  <c r="K92" i="5"/>
  <c r="C64" i="5"/>
  <c r="D64" i="5"/>
  <c r="H63" i="5"/>
  <c r="K8" i="6"/>
  <c r="F8" i="6"/>
  <c r="G8" i="6" l="1"/>
  <c r="B9" i="6"/>
  <c r="E64" i="5"/>
  <c r="L92" i="5"/>
  <c r="M92" i="5" s="1"/>
  <c r="N92" i="5" s="1"/>
  <c r="J93" i="5" l="1"/>
  <c r="K93" i="5"/>
  <c r="P64" i="5"/>
  <c r="S64" i="5" s="1"/>
  <c r="F64" i="5"/>
  <c r="C9" i="6"/>
  <c r="G64" i="5" l="1"/>
  <c r="L93" i="5"/>
  <c r="M93" i="5" s="1"/>
  <c r="N93" i="5" s="1"/>
  <c r="K94" i="5" l="1"/>
  <c r="J94" i="5"/>
  <c r="C65" i="5"/>
  <c r="D65" i="5"/>
  <c r="H64" i="5"/>
  <c r="E65" i="5" l="1"/>
  <c r="L94" i="5"/>
  <c r="M94" i="5" s="1"/>
  <c r="N94" i="5" s="1"/>
  <c r="K95" i="5" l="1"/>
  <c r="J95" i="5"/>
  <c r="P65" i="5"/>
  <c r="S65" i="5" s="1"/>
  <c r="F65" i="5"/>
  <c r="L95" i="5" l="1"/>
  <c r="M95" i="5" s="1"/>
  <c r="N95" i="5" s="1"/>
  <c r="G65" i="5"/>
  <c r="J96" i="5" l="1"/>
  <c r="K96" i="5"/>
  <c r="C66" i="5"/>
  <c r="D66" i="5"/>
  <c r="H65" i="5"/>
  <c r="E66" i="5" l="1"/>
  <c r="L96" i="5"/>
  <c r="M96" i="5" s="1"/>
  <c r="N96" i="5" s="1"/>
  <c r="J97" i="5" l="1"/>
  <c r="K97" i="5"/>
  <c r="P66" i="5"/>
  <c r="S66" i="5" s="1"/>
  <c r="F66" i="5"/>
  <c r="G66" i="5" l="1"/>
  <c r="L97" i="5"/>
  <c r="M97" i="5" s="1"/>
  <c r="N97" i="5" s="1"/>
  <c r="K98" i="5" l="1"/>
  <c r="J98" i="5"/>
  <c r="D67" i="5"/>
  <c r="C67" i="5"/>
  <c r="H66" i="5"/>
  <c r="E67" i="5" l="1"/>
  <c r="L98" i="5"/>
  <c r="M98" i="5" s="1"/>
  <c r="N98" i="5" s="1"/>
  <c r="J99" i="5" l="1"/>
  <c r="K99" i="5"/>
  <c r="P67" i="5"/>
  <c r="S67" i="5" s="1"/>
  <c r="F67" i="5"/>
  <c r="G67" i="5" l="1"/>
  <c r="L99" i="5"/>
  <c r="J11" i="6" s="1"/>
  <c r="C68" i="5" l="1"/>
  <c r="D68" i="5"/>
  <c r="H67" i="5"/>
  <c r="M99" i="5"/>
  <c r="N99" i="5" s="1"/>
  <c r="J100" i="5" l="1"/>
  <c r="K100" i="5"/>
  <c r="E68" i="5"/>
  <c r="P68" i="5" l="1"/>
  <c r="S68" i="5" s="1"/>
  <c r="F68" i="5"/>
  <c r="L100" i="5"/>
  <c r="M100" i="5" s="1"/>
  <c r="N100" i="5" s="1"/>
  <c r="J101" i="5" l="1"/>
  <c r="K101" i="5"/>
  <c r="G68" i="5"/>
  <c r="C69" i="5" l="1"/>
  <c r="D69" i="5"/>
  <c r="H68" i="5"/>
  <c r="L101" i="5"/>
  <c r="M101" i="5" s="1"/>
  <c r="N101" i="5" s="1"/>
  <c r="K102" i="5" l="1"/>
  <c r="J102" i="5"/>
  <c r="E69" i="5"/>
  <c r="P69" i="5" s="1"/>
  <c r="S69" i="5" s="1"/>
  <c r="F69" i="5" l="1"/>
  <c r="G69" i="5" s="1"/>
  <c r="D70" i="5" s="1"/>
  <c r="L102" i="5"/>
  <c r="M102" i="5" s="1"/>
  <c r="N102" i="5" s="1"/>
  <c r="H69" i="5" l="1"/>
  <c r="C70" i="5"/>
  <c r="E70" i="5" s="1"/>
  <c r="P70" i="5" s="1"/>
  <c r="S70" i="5" s="1"/>
  <c r="K103" i="5"/>
  <c r="J103" i="5"/>
  <c r="L103" i="5" l="1"/>
  <c r="M103" i="5" s="1"/>
  <c r="N103" i="5" s="1"/>
  <c r="F70" i="5"/>
  <c r="G70" i="5" s="1"/>
  <c r="J104" i="5" l="1"/>
  <c r="K104" i="5"/>
  <c r="D71" i="5"/>
  <c r="C71" i="5"/>
  <c r="H70" i="5"/>
  <c r="E71" i="5" l="1"/>
  <c r="P71" i="5" s="1"/>
  <c r="S71" i="5" s="1"/>
  <c r="L104" i="5"/>
  <c r="M104" i="5" s="1"/>
  <c r="N104" i="5" s="1"/>
  <c r="J105" i="5" l="1"/>
  <c r="K105" i="5"/>
  <c r="F71" i="5"/>
  <c r="G71" i="5" s="1"/>
  <c r="C72" i="5" l="1"/>
  <c r="D72" i="5"/>
  <c r="H71" i="5"/>
  <c r="L105" i="5"/>
  <c r="M105" i="5" s="1"/>
  <c r="N105" i="5" s="1"/>
  <c r="K106" i="5" l="1"/>
  <c r="J106" i="5"/>
  <c r="E72" i="5"/>
  <c r="P72" i="5" s="1"/>
  <c r="S72" i="5" s="1"/>
  <c r="F72" i="5" l="1"/>
  <c r="G72" i="5" s="1"/>
  <c r="D73" i="5" s="1"/>
  <c r="L106" i="5"/>
  <c r="M106" i="5" s="1"/>
  <c r="N106" i="5" s="1"/>
  <c r="H72" i="5" l="1"/>
  <c r="C73" i="5"/>
  <c r="E73" i="5" s="1"/>
  <c r="P73" i="5" s="1"/>
  <c r="S73" i="5" s="1"/>
  <c r="J107" i="5"/>
  <c r="K107" i="5"/>
  <c r="F73" i="5" l="1"/>
  <c r="G73" i="5" s="1"/>
  <c r="L107" i="5"/>
  <c r="M107" i="5" s="1"/>
  <c r="N107" i="5" s="1"/>
  <c r="J108" i="5" l="1"/>
  <c r="K108" i="5"/>
  <c r="C74" i="5"/>
  <c r="D74" i="5"/>
  <c r="H73" i="5"/>
  <c r="E74" i="5" l="1"/>
  <c r="P74" i="5" s="1"/>
  <c r="S74" i="5" s="1"/>
  <c r="L108" i="5"/>
  <c r="M108" i="5" s="1"/>
  <c r="N108" i="5" s="1"/>
  <c r="J109" i="5" l="1"/>
  <c r="K109" i="5"/>
  <c r="F74" i="5"/>
  <c r="G74" i="5" s="1"/>
  <c r="C75" i="5" l="1"/>
  <c r="D75" i="5"/>
  <c r="H74" i="5"/>
  <c r="L109" i="5"/>
  <c r="M109" i="5" s="1"/>
  <c r="N109" i="5" s="1"/>
  <c r="K110" i="5" l="1"/>
  <c r="J110" i="5"/>
  <c r="E75" i="5"/>
  <c r="F75" i="5" s="1"/>
  <c r="E9" i="6" l="1"/>
  <c r="G75" i="5"/>
  <c r="L110" i="5"/>
  <c r="M110" i="5" s="1"/>
  <c r="N110" i="5" s="1"/>
  <c r="P75" i="5"/>
  <c r="S75" i="5" s="1"/>
  <c r="D9" i="6"/>
  <c r="I9" i="6" s="1"/>
  <c r="K111" i="5" l="1"/>
  <c r="J111" i="5"/>
  <c r="D76" i="5"/>
  <c r="C76" i="5"/>
  <c r="H75" i="5"/>
  <c r="K9" i="6"/>
  <c r="F9" i="6"/>
  <c r="G9" i="6" l="1"/>
  <c r="B10" i="6"/>
  <c r="E76" i="5"/>
  <c r="L111" i="5"/>
  <c r="J12" i="6" s="1"/>
  <c r="P76" i="5" l="1"/>
  <c r="S76" i="5" s="1"/>
  <c r="M111" i="5"/>
  <c r="N111" i="5" s="1"/>
  <c r="F76" i="5"/>
  <c r="C10" i="6"/>
  <c r="J112" i="5" l="1"/>
  <c r="K112" i="5"/>
  <c r="G76" i="5"/>
  <c r="D77" i="5" l="1"/>
  <c r="C77" i="5"/>
  <c r="H76" i="5"/>
  <c r="L112" i="5"/>
  <c r="M112" i="5" s="1"/>
  <c r="N112" i="5" s="1"/>
  <c r="J113" i="5" l="1"/>
  <c r="K113" i="5"/>
  <c r="E77" i="5"/>
  <c r="P77" i="5" l="1"/>
  <c r="S77" i="5" s="1"/>
  <c r="L113" i="5"/>
  <c r="M113" i="5" s="1"/>
  <c r="N113" i="5" s="1"/>
  <c r="F77" i="5"/>
  <c r="K114" i="5" l="1"/>
  <c r="J114" i="5"/>
  <c r="G77" i="5"/>
  <c r="C78" i="5" l="1"/>
  <c r="D78" i="5"/>
  <c r="H77" i="5"/>
  <c r="L114" i="5"/>
  <c r="M114" i="5" s="1"/>
  <c r="N114" i="5" s="1"/>
  <c r="J115" i="5" l="1"/>
  <c r="K115" i="5"/>
  <c r="E78" i="5"/>
  <c r="F78" i="5" s="1"/>
  <c r="P78" i="5" l="1"/>
  <c r="S78" i="5" s="1"/>
  <c r="G78" i="5"/>
  <c r="L115" i="5"/>
  <c r="M115" i="5" s="1"/>
  <c r="N115" i="5" s="1"/>
  <c r="J116" i="5" l="1"/>
  <c r="K116" i="5"/>
  <c r="C79" i="5"/>
  <c r="D79" i="5"/>
  <c r="H78" i="5"/>
  <c r="E79" i="5" l="1"/>
  <c r="L116" i="5"/>
  <c r="M116" i="5" s="1"/>
  <c r="N116" i="5" s="1"/>
  <c r="J117" i="5" l="1"/>
  <c r="K117" i="5"/>
  <c r="P79" i="5"/>
  <c r="S79" i="5" s="1"/>
  <c r="F79" i="5"/>
  <c r="G79" i="5" l="1"/>
  <c r="L117" i="5"/>
  <c r="M117" i="5" s="1"/>
  <c r="N117" i="5" s="1"/>
  <c r="K118" i="5" l="1"/>
  <c r="J118" i="5"/>
  <c r="D80" i="5"/>
  <c r="C80" i="5"/>
  <c r="H79" i="5"/>
  <c r="L118" i="5" l="1"/>
  <c r="M118" i="5" s="1"/>
  <c r="N118" i="5" s="1"/>
  <c r="E80" i="5"/>
  <c r="K119" i="5" l="1"/>
  <c r="J119" i="5"/>
  <c r="P80" i="5"/>
  <c r="S80" i="5" s="1"/>
  <c r="F80" i="5"/>
  <c r="G80" i="5" s="1"/>
  <c r="L119" i="5" l="1"/>
  <c r="M119" i="5" s="1"/>
  <c r="N119" i="5" s="1"/>
  <c r="D81" i="5"/>
  <c r="C81" i="5"/>
  <c r="H80" i="5"/>
  <c r="J120" i="5" l="1"/>
  <c r="K120" i="5"/>
  <c r="E81" i="5"/>
  <c r="P81" i="5" s="1"/>
  <c r="S81" i="5" s="1"/>
  <c r="F81" i="5" l="1"/>
  <c r="G81" i="5" s="1"/>
  <c r="L120" i="5"/>
  <c r="M120" i="5" s="1"/>
  <c r="N120" i="5" s="1"/>
  <c r="J121" i="5" l="1"/>
  <c r="K121" i="5"/>
  <c r="C82" i="5"/>
  <c r="D82" i="5"/>
  <c r="H81" i="5"/>
  <c r="E82" i="5" l="1"/>
  <c r="P82" i="5" s="1"/>
  <c r="S82" i="5" s="1"/>
  <c r="L121" i="5"/>
  <c r="M121" i="5" s="1"/>
  <c r="N121" i="5" s="1"/>
  <c r="K122" i="5" l="1"/>
  <c r="J122" i="5"/>
  <c r="F82" i="5"/>
  <c r="G82" i="5" s="1"/>
  <c r="C83" i="5" l="1"/>
  <c r="D83" i="5"/>
  <c r="H82" i="5"/>
  <c r="L122" i="5"/>
  <c r="M122" i="5" s="1"/>
  <c r="N122" i="5" s="1"/>
  <c r="J123" i="5" l="1"/>
  <c r="K123" i="5"/>
  <c r="E83" i="5"/>
  <c r="P83" i="5" s="1"/>
  <c r="S83" i="5" s="1"/>
  <c r="F83" i="5" l="1"/>
  <c r="G83" i="5" s="1"/>
  <c r="D84" i="5" s="1"/>
  <c r="L123" i="5"/>
  <c r="J13" i="6" s="1"/>
  <c r="H83" i="5" l="1"/>
  <c r="C84" i="5"/>
  <c r="E84" i="5" s="1"/>
  <c r="P84" i="5" s="1"/>
  <c r="S84" i="5" s="1"/>
  <c r="M123" i="5"/>
  <c r="N123" i="5" s="1"/>
  <c r="F84" i="5" l="1"/>
  <c r="G84" i="5" s="1"/>
  <c r="C85" i="5" s="1"/>
  <c r="J124" i="5"/>
  <c r="K124" i="5"/>
  <c r="H84" i="5" l="1"/>
  <c r="D85" i="5"/>
  <c r="L124" i="5"/>
  <c r="M124" i="5" s="1"/>
  <c r="N124" i="5" s="1"/>
  <c r="E85" i="5"/>
  <c r="P85" i="5" s="1"/>
  <c r="S85" i="5" s="1"/>
  <c r="K125" i="5" l="1"/>
  <c r="J125" i="5"/>
  <c r="F85" i="5"/>
  <c r="G85" i="5" s="1"/>
  <c r="L125" i="5" l="1"/>
  <c r="M125" i="5" s="1"/>
  <c r="N125" i="5" s="1"/>
  <c r="C86" i="5"/>
  <c r="D86" i="5"/>
  <c r="H85" i="5"/>
  <c r="K126" i="5" l="1"/>
  <c r="J126" i="5"/>
  <c r="E86" i="5"/>
  <c r="P86" i="5" s="1"/>
  <c r="S86" i="5" s="1"/>
  <c r="F86" i="5" l="1"/>
  <c r="G86" i="5" s="1"/>
  <c r="H86" i="5" s="1"/>
  <c r="L126" i="5"/>
  <c r="M126" i="5" s="1"/>
  <c r="N126" i="5" s="1"/>
  <c r="D87" i="5" l="1"/>
  <c r="C87" i="5"/>
  <c r="E87" i="5" s="1"/>
  <c r="J127" i="5"/>
  <c r="K127" i="5"/>
  <c r="F87" i="5" l="1"/>
  <c r="E10" i="6" s="1"/>
  <c r="K10" i="6" s="1"/>
  <c r="P87" i="5"/>
  <c r="S87" i="5" s="1"/>
  <c r="D10" i="6"/>
  <c r="I10" i="6" s="1"/>
  <c r="L127" i="5"/>
  <c r="M127" i="5" s="1"/>
  <c r="N127" i="5" s="1"/>
  <c r="F10" i="6" l="1"/>
  <c r="B11" i="6" s="1"/>
  <c r="G87" i="5"/>
  <c r="D88" i="5" s="1"/>
  <c r="J128" i="5"/>
  <c r="K128" i="5"/>
  <c r="H87" i="5" l="1"/>
  <c r="C88" i="5"/>
  <c r="E88" i="5" s="1"/>
  <c r="G10" i="6"/>
  <c r="C11" i="6"/>
  <c r="L128" i="5"/>
  <c r="M128" i="5" s="1"/>
  <c r="N128" i="5" s="1"/>
  <c r="K129" i="5" l="1"/>
  <c r="J129" i="5"/>
  <c r="P88" i="5"/>
  <c r="S88" i="5" s="1"/>
  <c r="F88" i="5"/>
  <c r="L129" i="5" l="1"/>
  <c r="M129" i="5" s="1"/>
  <c r="N129" i="5" s="1"/>
  <c r="G88" i="5"/>
  <c r="K130" i="5" l="1"/>
  <c r="J130" i="5"/>
  <c r="D89" i="5"/>
  <c r="C89" i="5"/>
  <c r="H88" i="5"/>
  <c r="E89" i="5" l="1"/>
  <c r="F89" i="5" s="1"/>
  <c r="G89" i="5" s="1"/>
  <c r="L130" i="5"/>
  <c r="M130" i="5" s="1"/>
  <c r="N130" i="5" s="1"/>
  <c r="J131" i="5" l="1"/>
  <c r="K131" i="5"/>
  <c r="C90" i="5"/>
  <c r="D90" i="5"/>
  <c r="H89" i="5"/>
  <c r="P89" i="5"/>
  <c r="S89" i="5" s="1"/>
  <c r="E90" i="5" l="1"/>
  <c r="F90" i="5" s="1"/>
  <c r="L131" i="5"/>
  <c r="M131" i="5" s="1"/>
  <c r="N131" i="5" s="1"/>
  <c r="J132" i="5" l="1"/>
  <c r="K132" i="5"/>
  <c r="G90" i="5"/>
  <c r="P90" i="5"/>
  <c r="S90" i="5" s="1"/>
  <c r="C91" i="5" l="1"/>
  <c r="D91" i="5"/>
  <c r="H90" i="5"/>
  <c r="L132" i="5"/>
  <c r="M132" i="5" s="1"/>
  <c r="N132" i="5" s="1"/>
  <c r="K133" i="5" l="1"/>
  <c r="J133" i="5"/>
  <c r="E91" i="5"/>
  <c r="F91" i="5" s="1"/>
  <c r="G91" i="5" s="1"/>
  <c r="D92" i="5" l="1"/>
  <c r="C92" i="5"/>
  <c r="H91" i="5"/>
  <c r="P91" i="5"/>
  <c r="S91" i="5" s="1"/>
  <c r="L133" i="5"/>
  <c r="M133" i="5" s="1"/>
  <c r="N133" i="5" s="1"/>
  <c r="K134" i="5" l="1"/>
  <c r="J134" i="5"/>
  <c r="E92" i="5"/>
  <c r="P92" i="5" l="1"/>
  <c r="S92" i="5" s="1"/>
  <c r="F92" i="5"/>
  <c r="G92" i="5" s="1"/>
  <c r="L134" i="5"/>
  <c r="M134" i="5" s="1"/>
  <c r="N134" i="5" s="1"/>
  <c r="J135" i="5" l="1"/>
  <c r="K135" i="5"/>
  <c r="D93" i="5"/>
  <c r="C93" i="5"/>
  <c r="H92" i="5"/>
  <c r="E93" i="5" l="1"/>
  <c r="P93" i="5" s="1"/>
  <c r="S93" i="5" s="1"/>
  <c r="L135" i="5"/>
  <c r="J14" i="6" s="1"/>
  <c r="F93" i="5" l="1"/>
  <c r="G93" i="5" s="1"/>
  <c r="M135" i="5"/>
  <c r="N135" i="5" s="1"/>
  <c r="J136" i="5" l="1"/>
  <c r="K136" i="5"/>
  <c r="C94" i="5"/>
  <c r="D94" i="5"/>
  <c r="H93" i="5"/>
  <c r="E94" i="5" l="1"/>
  <c r="P94" i="5" s="1"/>
  <c r="S94" i="5" s="1"/>
  <c r="L136" i="5"/>
  <c r="M136" i="5" s="1"/>
  <c r="N136" i="5" s="1"/>
  <c r="K137" i="5" l="1"/>
  <c r="J137" i="5"/>
  <c r="F94" i="5"/>
  <c r="G94" i="5" s="1"/>
  <c r="C95" i="5" l="1"/>
  <c r="D95" i="5"/>
  <c r="H94" i="5"/>
  <c r="L137" i="5"/>
  <c r="M137" i="5" s="1"/>
  <c r="N137" i="5" s="1"/>
  <c r="K138" i="5" l="1"/>
  <c r="J138" i="5"/>
  <c r="E95" i="5"/>
  <c r="P95" i="5" s="1"/>
  <c r="S95" i="5" s="1"/>
  <c r="F95" i="5" l="1"/>
  <c r="G95" i="5" s="1"/>
  <c r="D96" i="5" s="1"/>
  <c r="L138" i="5"/>
  <c r="M138" i="5" s="1"/>
  <c r="N138" i="5" s="1"/>
  <c r="C96" i="5" l="1"/>
  <c r="E96" i="5" s="1"/>
  <c r="P96" i="5" s="1"/>
  <c r="S96" i="5" s="1"/>
  <c r="H95" i="5"/>
  <c r="J139" i="5"/>
  <c r="K139" i="5"/>
  <c r="F96" i="5" l="1"/>
  <c r="G96" i="5" s="1"/>
  <c r="L139" i="5"/>
  <c r="M139" i="5" s="1"/>
  <c r="N139" i="5" s="1"/>
  <c r="J140" i="5" l="1"/>
  <c r="K140" i="5"/>
  <c r="D97" i="5"/>
  <c r="C97" i="5"/>
  <c r="H96" i="5"/>
  <c r="E97" i="5" l="1"/>
  <c r="P97" i="5" s="1"/>
  <c r="S97" i="5" s="1"/>
  <c r="L140" i="5"/>
  <c r="M140" i="5" s="1"/>
  <c r="N140" i="5" s="1"/>
  <c r="F97" i="5" l="1"/>
  <c r="G97" i="5" s="1"/>
  <c r="H97" i="5" s="1"/>
  <c r="K141" i="5"/>
  <c r="J141" i="5"/>
  <c r="D98" i="5" l="1"/>
  <c r="C98" i="5"/>
  <c r="E98" i="5" s="1"/>
  <c r="P98" i="5" s="1"/>
  <c r="S98" i="5" s="1"/>
  <c r="L141" i="5"/>
  <c r="M141" i="5" s="1"/>
  <c r="N141" i="5" s="1"/>
  <c r="K142" i="5" l="1"/>
  <c r="J142" i="5"/>
  <c r="F98" i="5"/>
  <c r="G98" i="5" s="1"/>
  <c r="L142" i="5" l="1"/>
  <c r="M142" i="5" s="1"/>
  <c r="N142" i="5" s="1"/>
  <c r="C99" i="5"/>
  <c r="D99" i="5"/>
  <c r="H98" i="5"/>
  <c r="J143" i="5" l="1"/>
  <c r="K143" i="5"/>
  <c r="E99" i="5"/>
  <c r="F99" i="5" s="1"/>
  <c r="E11" i="6" s="1"/>
  <c r="P99" i="5" l="1"/>
  <c r="S99" i="5" s="1"/>
  <c r="D11" i="6"/>
  <c r="I11" i="6" s="1"/>
  <c r="K11" i="6"/>
  <c r="F11" i="6"/>
  <c r="G99" i="5"/>
  <c r="L143" i="5"/>
  <c r="M143" i="5" s="1"/>
  <c r="N143" i="5" s="1"/>
  <c r="D100" i="5" l="1"/>
  <c r="C100" i="5"/>
  <c r="H99" i="5"/>
  <c r="J144" i="5"/>
  <c r="K144" i="5"/>
  <c r="G11" i="6"/>
  <c r="B12" i="6"/>
  <c r="C12" i="6" l="1"/>
  <c r="L144" i="5"/>
  <c r="M144" i="5" s="1"/>
  <c r="N144" i="5" s="1"/>
  <c r="E100" i="5"/>
  <c r="F100" i="5" s="1"/>
  <c r="K145" i="5" l="1"/>
  <c r="J145" i="5"/>
  <c r="G100" i="5"/>
  <c r="P100" i="5"/>
  <c r="S100" i="5" s="1"/>
  <c r="D101" i="5" l="1"/>
  <c r="C101" i="5"/>
  <c r="H100" i="5"/>
  <c r="L145" i="5"/>
  <c r="M145" i="5" s="1"/>
  <c r="N145" i="5" s="1"/>
  <c r="K146" i="5" l="1"/>
  <c r="J146" i="5"/>
  <c r="E101" i="5"/>
  <c r="F101" i="5" s="1"/>
  <c r="G101" i="5" s="1"/>
  <c r="P101" i="5" l="1"/>
  <c r="S101" i="5" s="1"/>
  <c r="L146" i="5"/>
  <c r="M146" i="5" s="1"/>
  <c r="N146" i="5" s="1"/>
  <c r="C102" i="5"/>
  <c r="D102" i="5"/>
  <c r="H101" i="5"/>
  <c r="J147" i="5" l="1"/>
  <c r="K147" i="5"/>
  <c r="E102" i="5"/>
  <c r="F102" i="5" s="1"/>
  <c r="P102" i="5" l="1"/>
  <c r="S102" i="5" s="1"/>
  <c r="G102" i="5"/>
  <c r="L147" i="5"/>
  <c r="J15" i="6" s="1"/>
  <c r="M147" i="5" l="1"/>
  <c r="N147" i="5" s="1"/>
  <c r="C103" i="5"/>
  <c r="D103" i="5"/>
  <c r="H102" i="5"/>
  <c r="E103" i="5" l="1"/>
  <c r="J148" i="5"/>
  <c r="K148" i="5"/>
  <c r="L148" i="5" l="1"/>
  <c r="M148" i="5" s="1"/>
  <c r="N148" i="5" s="1"/>
  <c r="P103" i="5"/>
  <c r="S103" i="5" s="1"/>
  <c r="F103" i="5"/>
  <c r="G103" i="5" s="1"/>
  <c r="K149" i="5" l="1"/>
  <c r="J149" i="5"/>
  <c r="D104" i="5"/>
  <c r="C104" i="5"/>
  <c r="H103" i="5"/>
  <c r="E104" i="5" l="1"/>
  <c r="F104" i="5" s="1"/>
  <c r="G104" i="5" s="1"/>
  <c r="L149" i="5"/>
  <c r="M149" i="5" s="1"/>
  <c r="N149" i="5" s="1"/>
  <c r="K150" i="5" l="1"/>
  <c r="J150" i="5"/>
  <c r="D105" i="5"/>
  <c r="C105" i="5"/>
  <c r="H104" i="5"/>
  <c r="P104" i="5"/>
  <c r="S104" i="5" s="1"/>
  <c r="E105" i="5" l="1"/>
  <c r="P105" i="5" s="1"/>
  <c r="S105" i="5" s="1"/>
  <c r="L150" i="5"/>
  <c r="M150" i="5" s="1"/>
  <c r="N150" i="5" s="1"/>
  <c r="F105" i="5" l="1"/>
  <c r="G105" i="5" s="1"/>
  <c r="H105" i="5" s="1"/>
  <c r="J151" i="5"/>
  <c r="K151" i="5"/>
  <c r="C106" i="5" l="1"/>
  <c r="E106" i="5" s="1"/>
  <c r="P106" i="5" s="1"/>
  <c r="S106" i="5" s="1"/>
  <c r="D106" i="5"/>
  <c r="L151" i="5"/>
  <c r="M151" i="5" s="1"/>
  <c r="N151" i="5" s="1"/>
  <c r="J152" i="5" l="1"/>
  <c r="K152" i="5"/>
  <c r="F106" i="5"/>
  <c r="G106" i="5" s="1"/>
  <c r="C107" i="5" l="1"/>
  <c r="D107" i="5"/>
  <c r="H106" i="5"/>
  <c r="L152" i="5"/>
  <c r="M152" i="5" s="1"/>
  <c r="N152" i="5" s="1"/>
  <c r="K153" i="5" l="1"/>
  <c r="J153" i="5"/>
  <c r="E107" i="5"/>
  <c r="P107" i="5" s="1"/>
  <c r="S107" i="5" s="1"/>
  <c r="F107" i="5" l="1"/>
  <c r="G107" i="5" s="1"/>
  <c r="C108" i="5" s="1"/>
  <c r="L153" i="5"/>
  <c r="M153" i="5" s="1"/>
  <c r="N153" i="5" s="1"/>
  <c r="D108" i="5" l="1"/>
  <c r="H107" i="5"/>
  <c r="J154" i="5"/>
  <c r="E108" i="5"/>
  <c r="P108" i="5" s="1"/>
  <c r="S108" i="5" s="1"/>
  <c r="F108" i="5" l="1"/>
  <c r="G108" i="5" s="1"/>
  <c r="C109" i="5" s="1"/>
  <c r="L154" i="5"/>
  <c r="K154" i="5" l="1"/>
  <c r="M154" i="5" s="1"/>
  <c r="N154" i="5" s="1"/>
  <c r="J155" i="5" s="1"/>
  <c r="H108" i="5"/>
  <c r="D109" i="5"/>
  <c r="E109" i="5"/>
  <c r="P109" i="5" s="1"/>
  <c r="S109" i="5" s="1"/>
  <c r="F109" i="5" l="1"/>
  <c r="G109" i="5" s="1"/>
  <c r="L155" i="5"/>
  <c r="K155" i="5" l="1"/>
  <c r="M155" i="5" s="1"/>
  <c r="N155" i="5" s="1"/>
  <c r="J156" i="5" s="1"/>
  <c r="D110" i="5"/>
  <c r="C110" i="5"/>
  <c r="H109" i="5"/>
  <c r="E110" i="5" l="1"/>
  <c r="P110" i="5" s="1"/>
  <c r="S110" i="5" s="1"/>
  <c r="L156" i="5"/>
  <c r="K156" i="5" l="1"/>
  <c r="M156" i="5" s="1"/>
  <c r="N156" i="5" s="1"/>
  <c r="J157" i="5" s="1"/>
  <c r="F110" i="5"/>
  <c r="G110" i="5" s="1"/>
  <c r="L157" i="5" l="1"/>
  <c r="C111" i="5"/>
  <c r="D111" i="5"/>
  <c r="H110" i="5"/>
  <c r="K157" i="5" l="1"/>
  <c r="M157" i="5" s="1"/>
  <c r="N157" i="5" s="1"/>
  <c r="J158" i="5" s="1"/>
  <c r="E111" i="5"/>
  <c r="F111" i="5" s="1"/>
  <c r="E12" i="6" s="1"/>
  <c r="L158" i="5" l="1"/>
  <c r="K158" i="5" s="1"/>
  <c r="M158" i="5" s="1"/>
  <c r="N158" i="5" s="1"/>
  <c r="G111" i="5"/>
  <c r="K12" i="6"/>
  <c r="F12" i="6"/>
  <c r="P111" i="5"/>
  <c r="S111" i="5" s="1"/>
  <c r="D12" i="6"/>
  <c r="I12" i="6" s="1"/>
  <c r="G12" i="6" l="1"/>
  <c r="B13" i="6"/>
  <c r="C112" i="5"/>
  <c r="D112" i="5"/>
  <c r="H111" i="5"/>
  <c r="J159" i="5"/>
  <c r="K159" i="5"/>
  <c r="L159" i="5" l="1"/>
  <c r="J16" i="6" s="1"/>
  <c r="E112" i="5"/>
  <c r="C13" i="6"/>
  <c r="P112" i="5" l="1"/>
  <c r="S112" i="5" s="1"/>
  <c r="F112" i="5"/>
  <c r="M159" i="5"/>
  <c r="N159" i="5" s="1"/>
  <c r="J160" i="5" l="1"/>
  <c r="K160" i="5"/>
  <c r="G112" i="5"/>
  <c r="C113" i="5" l="1"/>
  <c r="D113" i="5"/>
  <c r="H112" i="5"/>
  <c r="L160" i="5"/>
  <c r="M160" i="5" s="1"/>
  <c r="N160" i="5" s="1"/>
  <c r="K161" i="5" l="1"/>
  <c r="J161" i="5"/>
  <c r="E113" i="5"/>
  <c r="F113" i="5" s="1"/>
  <c r="P113" i="5" l="1"/>
  <c r="S113" i="5" s="1"/>
  <c r="L161" i="5"/>
  <c r="M161" i="5" s="1"/>
  <c r="N161" i="5" s="1"/>
  <c r="G113" i="5"/>
  <c r="K162" i="5" l="1"/>
  <c r="J162" i="5"/>
  <c r="D114" i="5"/>
  <c r="C114" i="5"/>
  <c r="H113" i="5"/>
  <c r="E114" i="5" l="1"/>
  <c r="F114" i="5" s="1"/>
  <c r="G114" i="5" s="1"/>
  <c r="L162" i="5"/>
  <c r="M162" i="5" s="1"/>
  <c r="N162" i="5" s="1"/>
  <c r="J163" i="5" l="1"/>
  <c r="K163" i="5"/>
  <c r="C115" i="5"/>
  <c r="D115" i="5"/>
  <c r="H114" i="5"/>
  <c r="P114" i="5"/>
  <c r="S114" i="5" s="1"/>
  <c r="E115" i="5" l="1"/>
  <c r="L163" i="5"/>
  <c r="M163" i="5" s="1"/>
  <c r="N163" i="5" s="1"/>
  <c r="J164" i="5" l="1"/>
  <c r="K164" i="5"/>
  <c r="P115" i="5"/>
  <c r="S115" i="5" s="1"/>
  <c r="F115" i="5"/>
  <c r="G115" i="5" s="1"/>
  <c r="C116" i="5" l="1"/>
  <c r="D116" i="5"/>
  <c r="H115" i="5"/>
  <c r="L164" i="5"/>
  <c r="M164" i="5" s="1"/>
  <c r="N164" i="5" s="1"/>
  <c r="K165" i="5" l="1"/>
  <c r="J165" i="5"/>
  <c r="E116" i="5"/>
  <c r="P116" i="5" l="1"/>
  <c r="S116" i="5" s="1"/>
  <c r="L165" i="5"/>
  <c r="M165" i="5" s="1"/>
  <c r="N165" i="5" s="1"/>
  <c r="F116" i="5"/>
  <c r="G116" i="5" s="1"/>
  <c r="K166" i="5" l="1"/>
  <c r="J166" i="5"/>
  <c r="C117" i="5"/>
  <c r="D117" i="5"/>
  <c r="H116" i="5"/>
  <c r="E117" i="5" l="1"/>
  <c r="P117" i="5" s="1"/>
  <c r="S117" i="5" s="1"/>
  <c r="L166" i="5"/>
  <c r="M166" i="5" s="1"/>
  <c r="N166" i="5" s="1"/>
  <c r="J167" i="5" l="1"/>
  <c r="K167" i="5"/>
  <c r="F117" i="5"/>
  <c r="G117" i="5" s="1"/>
  <c r="D118" i="5" l="1"/>
  <c r="C118" i="5"/>
  <c r="H117" i="5"/>
  <c r="L167" i="5"/>
  <c r="M167" i="5" s="1"/>
  <c r="N167" i="5" s="1"/>
  <c r="J168" i="5" l="1"/>
  <c r="K168" i="5"/>
  <c r="E118" i="5"/>
  <c r="P118" i="5" s="1"/>
  <c r="S118" i="5" s="1"/>
  <c r="F118" i="5" l="1"/>
  <c r="G118" i="5" s="1"/>
  <c r="C119" i="5" s="1"/>
  <c r="L168" i="5"/>
  <c r="M168" i="5" s="1"/>
  <c r="N168" i="5" s="1"/>
  <c r="H118" i="5" l="1"/>
  <c r="D119" i="5"/>
  <c r="K169" i="5"/>
  <c r="J169" i="5"/>
  <c r="E119" i="5"/>
  <c r="P119" i="5" s="1"/>
  <c r="S119" i="5" s="1"/>
  <c r="F119" i="5" l="1"/>
  <c r="G119" i="5" s="1"/>
  <c r="C120" i="5" s="1"/>
  <c r="L169" i="5"/>
  <c r="M169" i="5" s="1"/>
  <c r="N169" i="5" s="1"/>
  <c r="H119" i="5" l="1"/>
  <c r="D120" i="5"/>
  <c r="K170" i="5"/>
  <c r="J170" i="5"/>
  <c r="E120" i="5"/>
  <c r="P120" i="5" s="1"/>
  <c r="S120" i="5" s="1"/>
  <c r="F120" i="5" l="1"/>
  <c r="G120" i="5" s="1"/>
  <c r="C121" i="5" s="1"/>
  <c r="L170" i="5"/>
  <c r="M170" i="5" s="1"/>
  <c r="N170" i="5" s="1"/>
  <c r="H120" i="5" l="1"/>
  <c r="D121" i="5"/>
  <c r="J171" i="5"/>
  <c r="K171" i="5"/>
  <c r="E121" i="5"/>
  <c r="P121" i="5" s="1"/>
  <c r="S121" i="5" s="1"/>
  <c r="F121" i="5" l="1"/>
  <c r="G121" i="5" s="1"/>
  <c r="L171" i="5"/>
  <c r="J17" i="6" s="1"/>
  <c r="D122" i="5" l="1"/>
  <c r="C122" i="5"/>
  <c r="H121" i="5"/>
  <c r="M171" i="5"/>
  <c r="N171" i="5" s="1"/>
  <c r="J172" i="5" l="1"/>
  <c r="K172" i="5"/>
  <c r="E122" i="5"/>
  <c r="P122" i="5" s="1"/>
  <c r="S122" i="5" s="1"/>
  <c r="F122" i="5" l="1"/>
  <c r="G122" i="5" s="1"/>
  <c r="L172" i="5"/>
  <c r="M172" i="5" s="1"/>
  <c r="N172" i="5" s="1"/>
  <c r="K173" i="5" l="1"/>
  <c r="J173" i="5"/>
  <c r="C123" i="5"/>
  <c r="D123" i="5"/>
  <c r="H122" i="5"/>
  <c r="E123" i="5" l="1"/>
  <c r="L173" i="5"/>
  <c r="M173" i="5" s="1"/>
  <c r="N173" i="5" s="1"/>
  <c r="K174" i="5" l="1"/>
  <c r="J174" i="5"/>
  <c r="P123" i="5"/>
  <c r="S123" i="5" s="1"/>
  <c r="D13" i="6"/>
  <c r="I13" i="6" s="1"/>
  <c r="F123" i="5"/>
  <c r="L174" i="5" l="1"/>
  <c r="M174" i="5" s="1"/>
  <c r="N174" i="5" s="1"/>
  <c r="E13" i="6"/>
  <c r="G123" i="5"/>
  <c r="J175" i="5" l="1"/>
  <c r="K175" i="5"/>
  <c r="C124" i="5"/>
  <c r="D124" i="5"/>
  <c r="H123" i="5"/>
  <c r="K13" i="6"/>
  <c r="F13" i="6"/>
  <c r="E124" i="5" l="1"/>
  <c r="F124" i="5" s="1"/>
  <c r="G13" i="6"/>
  <c r="B14" i="6"/>
  <c r="L175" i="5"/>
  <c r="M175" i="5" s="1"/>
  <c r="N175" i="5" s="1"/>
  <c r="J176" i="5" l="1"/>
  <c r="K176" i="5"/>
  <c r="G124" i="5"/>
  <c r="P124" i="5"/>
  <c r="S124" i="5" s="1"/>
  <c r="C14" i="6"/>
  <c r="C125" i="5" l="1"/>
  <c r="D125" i="5"/>
  <c r="H124" i="5"/>
  <c r="L176" i="5"/>
  <c r="M176" i="5" s="1"/>
  <c r="N176" i="5" s="1"/>
  <c r="K177" i="5" l="1"/>
  <c r="J177" i="5"/>
  <c r="E125" i="5"/>
  <c r="F125" i="5" s="1"/>
  <c r="G125" i="5" l="1"/>
  <c r="P125" i="5"/>
  <c r="S125" i="5" s="1"/>
  <c r="L177" i="5"/>
  <c r="M177" i="5" s="1"/>
  <c r="N177" i="5" s="1"/>
  <c r="K178" i="5" l="1"/>
  <c r="J178" i="5"/>
  <c r="D126" i="5"/>
  <c r="C126" i="5"/>
  <c r="H125" i="5"/>
  <c r="E126" i="5" l="1"/>
  <c r="F126" i="5" s="1"/>
  <c r="L178" i="5"/>
  <c r="M178" i="5" s="1"/>
  <c r="N178" i="5" s="1"/>
  <c r="J179" i="5" l="1"/>
  <c r="K179" i="5"/>
  <c r="G126" i="5"/>
  <c r="P126" i="5"/>
  <c r="S126" i="5" s="1"/>
  <c r="C127" i="5" l="1"/>
  <c r="D127" i="5"/>
  <c r="H126" i="5"/>
  <c r="L179" i="5"/>
  <c r="M179" i="5" s="1"/>
  <c r="N179" i="5" s="1"/>
  <c r="J180" i="5" l="1"/>
  <c r="K180" i="5"/>
  <c r="E127" i="5"/>
  <c r="P127" i="5" l="1"/>
  <c r="S127" i="5" s="1"/>
  <c r="F127" i="5"/>
  <c r="L180" i="5"/>
  <c r="M180" i="5" s="1"/>
  <c r="N180" i="5" s="1"/>
  <c r="K181" i="5" l="1"/>
  <c r="J181" i="5"/>
  <c r="G127" i="5"/>
  <c r="C128" i="5" l="1"/>
  <c r="D128" i="5"/>
  <c r="H127" i="5"/>
  <c r="L181" i="5"/>
  <c r="M181" i="5" s="1"/>
  <c r="N181" i="5" s="1"/>
  <c r="J182" i="5" l="1"/>
  <c r="E128" i="5"/>
  <c r="F128" i="5" s="1"/>
  <c r="G128" i="5" s="1"/>
  <c r="C129" i="5" l="1"/>
  <c r="D129" i="5"/>
  <c r="H128" i="5"/>
  <c r="P128" i="5"/>
  <c r="S128" i="5" s="1"/>
  <c r="L182" i="5"/>
  <c r="K182" i="5" l="1"/>
  <c r="M182" i="5" s="1"/>
  <c r="N182" i="5" s="1"/>
  <c r="E129" i="5"/>
  <c r="P129" i="5" s="1"/>
  <c r="S129" i="5" s="1"/>
  <c r="J183" i="5" l="1"/>
  <c r="L183" i="5" s="1"/>
  <c r="J18" i="6" s="1"/>
  <c r="K183" i="5"/>
  <c r="F129" i="5"/>
  <c r="G129" i="5" s="1"/>
  <c r="D130" i="5" s="1"/>
  <c r="H129" i="5" l="1"/>
  <c r="C130" i="5"/>
  <c r="E130" i="5" s="1"/>
  <c r="P130" i="5" s="1"/>
  <c r="S130" i="5" s="1"/>
  <c r="M183" i="5"/>
  <c r="N183" i="5" s="1"/>
  <c r="F130" i="5" l="1"/>
  <c r="G130" i="5" s="1"/>
  <c r="J184" i="5"/>
  <c r="K184" i="5"/>
  <c r="L184" i="5" l="1"/>
  <c r="M184" i="5" s="1"/>
  <c r="N184" i="5" s="1"/>
  <c r="C131" i="5"/>
  <c r="D131" i="5"/>
  <c r="H130" i="5"/>
  <c r="K185" i="5" l="1"/>
  <c r="J185" i="5"/>
  <c r="E131" i="5"/>
  <c r="P131" i="5" s="1"/>
  <c r="S131" i="5" s="1"/>
  <c r="L185" i="5" l="1"/>
  <c r="M185" i="5" s="1"/>
  <c r="N185" i="5" s="1"/>
  <c r="F131" i="5"/>
  <c r="G131" i="5" s="1"/>
  <c r="K186" i="5" l="1"/>
  <c r="J186" i="5"/>
  <c r="C132" i="5"/>
  <c r="D132" i="5"/>
  <c r="H131" i="5"/>
  <c r="E132" i="5" l="1"/>
  <c r="P132" i="5" s="1"/>
  <c r="S132" i="5" s="1"/>
  <c r="L186" i="5"/>
  <c r="M186" i="5" s="1"/>
  <c r="N186" i="5" s="1"/>
  <c r="J187" i="5" l="1"/>
  <c r="K187" i="5"/>
  <c r="F132" i="5"/>
  <c r="G132" i="5" s="1"/>
  <c r="C133" i="5" l="1"/>
  <c r="D133" i="5"/>
  <c r="H132" i="5"/>
  <c r="L187" i="5"/>
  <c r="M187" i="5" s="1"/>
  <c r="N187" i="5" s="1"/>
  <c r="J188" i="5" l="1"/>
  <c r="K188" i="5"/>
  <c r="E133" i="5"/>
  <c r="P133" i="5" s="1"/>
  <c r="S133" i="5" s="1"/>
  <c r="F133" i="5" l="1"/>
  <c r="G133" i="5" s="1"/>
  <c r="D134" i="5" s="1"/>
  <c r="L188" i="5"/>
  <c r="M188" i="5" s="1"/>
  <c r="N188" i="5" s="1"/>
  <c r="H133" i="5" l="1"/>
  <c r="C134" i="5"/>
  <c r="E134" i="5" s="1"/>
  <c r="P134" i="5" s="1"/>
  <c r="S134" i="5" s="1"/>
  <c r="K189" i="5"/>
  <c r="J189" i="5"/>
  <c r="L189" i="5" l="1"/>
  <c r="M189" i="5" s="1"/>
  <c r="N189" i="5" s="1"/>
  <c r="F134" i="5"/>
  <c r="G134" i="5" s="1"/>
  <c r="K190" i="5" l="1"/>
  <c r="J190" i="5"/>
  <c r="C135" i="5"/>
  <c r="D135" i="5"/>
  <c r="H134" i="5"/>
  <c r="L190" i="5" l="1"/>
  <c r="M190" i="5" s="1"/>
  <c r="N190" i="5" s="1"/>
  <c r="E135" i="5"/>
  <c r="J191" i="5" l="1"/>
  <c r="K191" i="5"/>
  <c r="P135" i="5"/>
  <c r="S135" i="5" s="1"/>
  <c r="D14" i="6"/>
  <c r="I14" i="6" s="1"/>
  <c r="F135" i="5"/>
  <c r="E14" i="6" l="1"/>
  <c r="G135" i="5"/>
  <c r="L191" i="5"/>
  <c r="M191" i="5" s="1"/>
  <c r="N191" i="5" s="1"/>
  <c r="J192" i="5" l="1"/>
  <c r="K192" i="5"/>
  <c r="K14" i="6"/>
  <c r="F14" i="6"/>
  <c r="C136" i="5"/>
  <c r="D136" i="5"/>
  <c r="H135" i="5"/>
  <c r="G14" i="6" l="1"/>
  <c r="B15" i="6"/>
  <c r="E136" i="5"/>
  <c r="F136" i="5" s="1"/>
  <c r="L192" i="5"/>
  <c r="M192" i="5" s="1"/>
  <c r="N192" i="5" s="1"/>
  <c r="G136" i="5" l="1"/>
  <c r="K193" i="5"/>
  <c r="J193" i="5"/>
  <c r="C15" i="6"/>
  <c r="P136" i="5"/>
  <c r="S136" i="5" s="1"/>
  <c r="L193" i="5" l="1"/>
  <c r="M193" i="5" s="1"/>
  <c r="N193" i="5" s="1"/>
  <c r="C137" i="5"/>
  <c r="D137" i="5"/>
  <c r="H136" i="5"/>
  <c r="J194" i="5" l="1"/>
  <c r="E137" i="5"/>
  <c r="F137" i="5" s="1"/>
  <c r="P137" i="5" l="1"/>
  <c r="S137" i="5" s="1"/>
  <c r="L194" i="5"/>
  <c r="G137" i="5"/>
  <c r="K194" i="5" l="1"/>
  <c r="M194" i="5" s="1"/>
  <c r="N194" i="5" s="1"/>
  <c r="J195" i="5" s="1"/>
  <c r="D138" i="5"/>
  <c r="C138" i="5"/>
  <c r="H137" i="5"/>
  <c r="E138" i="5" l="1"/>
  <c r="F138" i="5" s="1"/>
  <c r="L195" i="5"/>
  <c r="J19" i="6" l="1"/>
  <c r="K195" i="5"/>
  <c r="M195" i="5" s="1"/>
  <c r="N195" i="5" s="1"/>
  <c r="G138" i="5"/>
  <c r="P138" i="5"/>
  <c r="S138" i="5" s="1"/>
  <c r="C139" i="5" l="1"/>
  <c r="D139" i="5"/>
  <c r="H138" i="5"/>
  <c r="J196" i="5"/>
  <c r="L196" i="5" l="1"/>
  <c r="E139" i="5"/>
  <c r="F139" i="5" s="1"/>
  <c r="G139" i="5" s="1"/>
  <c r="K196" i="5" l="1"/>
  <c r="M196" i="5" s="1"/>
  <c r="N196" i="5" s="1"/>
  <c r="C140" i="5"/>
  <c r="D140" i="5"/>
  <c r="H139" i="5"/>
  <c r="P139" i="5"/>
  <c r="S139" i="5" s="1"/>
  <c r="K197" i="5" l="1"/>
  <c r="J197" i="5"/>
  <c r="L197" i="5" s="1"/>
  <c r="E140" i="5"/>
  <c r="M197" i="5" l="1"/>
  <c r="N197" i="5" s="1"/>
  <c r="P140" i="5"/>
  <c r="S140" i="5" s="1"/>
  <c r="F140" i="5"/>
  <c r="G140" i="5" s="1"/>
  <c r="J198" i="5" l="1"/>
  <c r="L198" i="5" s="1"/>
  <c r="C141" i="5"/>
  <c r="D141" i="5"/>
  <c r="H140" i="5"/>
  <c r="K198" i="5" l="1"/>
  <c r="M198" i="5" s="1"/>
  <c r="N198" i="5" s="1"/>
  <c r="J199" i="5" s="1"/>
  <c r="E141" i="5"/>
  <c r="P141" i="5" s="1"/>
  <c r="S141" i="5" s="1"/>
  <c r="F141" i="5" l="1"/>
  <c r="G141" i="5" s="1"/>
  <c r="D142" i="5" s="1"/>
  <c r="L199" i="5"/>
  <c r="K199" i="5" l="1"/>
  <c r="M199" i="5" s="1"/>
  <c r="N199" i="5" s="1"/>
  <c r="J200" i="5" s="1"/>
  <c r="H141" i="5"/>
  <c r="C142" i="5"/>
  <c r="E142" i="5" s="1"/>
  <c r="P142" i="5" l="1"/>
  <c r="S142" i="5" s="1"/>
  <c r="F142" i="5"/>
  <c r="G142" i="5" s="1"/>
  <c r="H142" i="5" s="1"/>
  <c r="L200" i="5"/>
  <c r="K200" i="5" l="1"/>
  <c r="M200" i="5" s="1"/>
  <c r="N200" i="5" s="1"/>
  <c r="D143" i="5"/>
  <c r="C143" i="5"/>
  <c r="E143" i="5" s="1"/>
  <c r="P143" i="5" s="1"/>
  <c r="S143" i="5" s="1"/>
  <c r="K201" i="5" l="1"/>
  <c r="J201" i="5"/>
  <c r="F143" i="5"/>
  <c r="G143" i="5" s="1"/>
  <c r="D144" i="5" s="1"/>
  <c r="L201" i="5"/>
  <c r="M201" i="5" s="1"/>
  <c r="N201" i="5" s="1"/>
  <c r="H143" i="5" l="1"/>
  <c r="C144" i="5"/>
  <c r="E144" i="5" s="1"/>
  <c r="K202" i="5"/>
  <c r="J202" i="5"/>
  <c r="P144" i="5" l="1"/>
  <c r="S144" i="5" s="1"/>
  <c r="F144" i="5"/>
  <c r="G144" i="5" s="1"/>
  <c r="H144" i="5" s="1"/>
  <c r="L202" i="5"/>
  <c r="M202" i="5" s="1"/>
  <c r="N202" i="5" s="1"/>
  <c r="D145" i="5" l="1"/>
  <c r="C145" i="5"/>
  <c r="E145" i="5" s="1"/>
  <c r="P145" i="5" s="1"/>
  <c r="S145" i="5" s="1"/>
  <c r="J203" i="5"/>
  <c r="K203" i="5"/>
  <c r="F145" i="5" l="1"/>
  <c r="G145" i="5" s="1"/>
  <c r="D146" i="5" s="1"/>
  <c r="L203" i="5"/>
  <c r="M203" i="5" s="1"/>
  <c r="N203" i="5" s="1"/>
  <c r="H145" i="5" l="1"/>
  <c r="C146" i="5"/>
  <c r="E146" i="5" s="1"/>
  <c r="P146" i="5" s="1"/>
  <c r="S146" i="5" s="1"/>
  <c r="J204" i="5"/>
  <c r="K204" i="5"/>
  <c r="F146" i="5" l="1"/>
  <c r="G146" i="5" s="1"/>
  <c r="L204" i="5"/>
  <c r="M204" i="5" s="1"/>
  <c r="N204" i="5" s="1"/>
  <c r="K205" i="5" l="1"/>
  <c r="J205" i="5"/>
  <c r="C147" i="5"/>
  <c r="D147" i="5"/>
  <c r="H146" i="5"/>
  <c r="L205" i="5" l="1"/>
  <c r="M205" i="5" s="1"/>
  <c r="N205" i="5" s="1"/>
  <c r="E147" i="5"/>
  <c r="K206" i="5" l="1"/>
  <c r="J206" i="5"/>
  <c r="P147" i="5"/>
  <c r="S147" i="5" s="1"/>
  <c r="D15" i="6"/>
  <c r="I15" i="6" s="1"/>
  <c r="F147" i="5"/>
  <c r="L206" i="5" l="1"/>
  <c r="M206" i="5" s="1"/>
  <c r="N206" i="5" s="1"/>
  <c r="E15" i="6"/>
  <c r="G147" i="5"/>
  <c r="C148" i="5" l="1"/>
  <c r="D148" i="5"/>
  <c r="H147" i="5"/>
  <c r="K15" i="6"/>
  <c r="F15" i="6"/>
  <c r="J207" i="5"/>
  <c r="K207" i="5"/>
  <c r="G15" i="6" l="1"/>
  <c r="B16" i="6"/>
  <c r="L207" i="5"/>
  <c r="J20" i="6" s="1"/>
  <c r="E148" i="5"/>
  <c r="F148" i="5" s="1"/>
  <c r="G148" i="5" s="1"/>
  <c r="C149" i="5" l="1"/>
  <c r="D149" i="5"/>
  <c r="H148" i="5"/>
  <c r="P148" i="5"/>
  <c r="S148" i="5" s="1"/>
  <c r="M207" i="5"/>
  <c r="N207" i="5" s="1"/>
  <c r="C16" i="6"/>
  <c r="J208" i="5" l="1"/>
  <c r="K208" i="5"/>
  <c r="E149" i="5"/>
  <c r="P149" i="5" l="1"/>
  <c r="S149" i="5" s="1"/>
  <c r="L208" i="5"/>
  <c r="M208" i="5" s="1"/>
  <c r="N208" i="5" s="1"/>
  <c r="F149" i="5"/>
  <c r="K209" i="5" l="1"/>
  <c r="J209" i="5"/>
  <c r="G149" i="5"/>
  <c r="L209" i="5" l="1"/>
  <c r="M209" i="5" s="1"/>
  <c r="N209" i="5" s="1"/>
  <c r="D150" i="5"/>
  <c r="C150" i="5"/>
  <c r="H149" i="5"/>
  <c r="K210" i="5" l="1"/>
  <c r="J210" i="5"/>
  <c r="E150" i="5"/>
  <c r="L210" i="5" l="1"/>
  <c r="M210" i="5" s="1"/>
  <c r="N210" i="5" s="1"/>
  <c r="P150" i="5"/>
  <c r="S150" i="5" s="1"/>
  <c r="F150" i="5"/>
  <c r="J211" i="5" l="1"/>
  <c r="K211" i="5"/>
  <c r="G150" i="5"/>
  <c r="C151" i="5" l="1"/>
  <c r="D151" i="5"/>
  <c r="H150" i="5"/>
  <c r="L211" i="5"/>
  <c r="M211" i="5" s="1"/>
  <c r="N211" i="5" s="1"/>
  <c r="J212" i="5" l="1"/>
  <c r="K212" i="5"/>
  <c r="E151" i="5"/>
  <c r="F151" i="5" s="1"/>
  <c r="G151" i="5" s="1"/>
  <c r="C152" i="5" l="1"/>
  <c r="D152" i="5"/>
  <c r="H151" i="5"/>
  <c r="P151" i="5"/>
  <c r="S151" i="5" s="1"/>
  <c r="L212" i="5"/>
  <c r="M212" i="5" s="1"/>
  <c r="N212" i="5" s="1"/>
  <c r="K213" i="5" l="1"/>
  <c r="J213" i="5"/>
  <c r="E152" i="5"/>
  <c r="P152" i="5" l="1"/>
  <c r="S152" i="5" s="1"/>
  <c r="L213" i="5"/>
  <c r="M213" i="5" s="1"/>
  <c r="N213" i="5" s="1"/>
  <c r="F152" i="5"/>
  <c r="G152" i="5" s="1"/>
  <c r="K214" i="5" l="1"/>
  <c r="J214" i="5"/>
  <c r="C153" i="5"/>
  <c r="D153" i="5"/>
  <c r="H152" i="5"/>
  <c r="L214" i="5" l="1"/>
  <c r="M214" i="5" s="1"/>
  <c r="N214" i="5" s="1"/>
  <c r="E153" i="5"/>
  <c r="P153" i="5" s="1"/>
  <c r="S153" i="5" s="1"/>
  <c r="F153" i="5" l="1"/>
  <c r="G153" i="5" s="1"/>
  <c r="D154" i="5" s="1"/>
  <c r="J215" i="5"/>
  <c r="K215" i="5"/>
  <c r="H153" i="5" l="1"/>
  <c r="C154" i="5"/>
  <c r="E154" i="5" s="1"/>
  <c r="P154" i="5" s="1"/>
  <c r="S154" i="5" s="1"/>
  <c r="L215" i="5"/>
  <c r="M215" i="5" s="1"/>
  <c r="N215" i="5" s="1"/>
  <c r="F154" i="5" l="1"/>
  <c r="G154" i="5" s="1"/>
  <c r="C155" i="5" s="1"/>
  <c r="J216" i="5"/>
  <c r="K216" i="5"/>
  <c r="H154" i="5" l="1"/>
  <c r="D155" i="5"/>
  <c r="E155" i="5"/>
  <c r="P155" i="5" s="1"/>
  <c r="S155" i="5" s="1"/>
  <c r="L216" i="5"/>
  <c r="M216" i="5" s="1"/>
  <c r="N216" i="5" s="1"/>
  <c r="K217" i="5" l="1"/>
  <c r="J217" i="5"/>
  <c r="F155" i="5"/>
  <c r="G155" i="5" s="1"/>
  <c r="L217" i="5" l="1"/>
  <c r="M217" i="5" s="1"/>
  <c r="N217" i="5" s="1"/>
  <c r="C156" i="5"/>
  <c r="D156" i="5"/>
  <c r="H155" i="5"/>
  <c r="K218" i="5" l="1"/>
  <c r="J218" i="5"/>
  <c r="E156" i="5"/>
  <c r="P156" i="5" s="1"/>
  <c r="S156" i="5" s="1"/>
  <c r="F156" i="5" l="1"/>
  <c r="G156" i="5" s="1"/>
  <c r="C157" i="5" s="1"/>
  <c r="L218" i="5"/>
  <c r="M218" i="5" s="1"/>
  <c r="N218" i="5" s="1"/>
  <c r="D157" i="5" l="1"/>
  <c r="H156" i="5"/>
  <c r="J219" i="5"/>
  <c r="K219" i="5"/>
  <c r="E157" i="5"/>
  <c r="P157" i="5" s="1"/>
  <c r="S157" i="5" s="1"/>
  <c r="F157" i="5" l="1"/>
  <c r="G157" i="5" s="1"/>
  <c r="C158" i="5" s="1"/>
  <c r="L219" i="5"/>
  <c r="J21" i="6" s="1"/>
  <c r="D158" i="5" l="1"/>
  <c r="H157" i="5"/>
  <c r="M219" i="5"/>
  <c r="N219" i="5" s="1"/>
  <c r="E158" i="5"/>
  <c r="P158" i="5" s="1"/>
  <c r="S158" i="5" s="1"/>
  <c r="F158" i="5" l="1"/>
  <c r="G158" i="5" s="1"/>
  <c r="J220" i="5"/>
  <c r="K220" i="5"/>
  <c r="C159" i="5" l="1"/>
  <c r="D159" i="5"/>
  <c r="H158" i="5"/>
  <c r="L220" i="5"/>
  <c r="M220" i="5" s="1"/>
  <c r="N220" i="5" s="1"/>
  <c r="K221" i="5" l="1"/>
  <c r="J221" i="5"/>
  <c r="E159" i="5"/>
  <c r="F159" i="5" s="1"/>
  <c r="E16" i="6" s="1"/>
  <c r="P159" i="5" l="1"/>
  <c r="S159" i="5" s="1"/>
  <c r="D16" i="6"/>
  <c r="I16" i="6" s="1"/>
  <c r="G159" i="5"/>
  <c r="K16" i="6"/>
  <c r="F16" i="6"/>
  <c r="L221" i="5"/>
  <c r="M221" i="5" s="1"/>
  <c r="N221" i="5" s="1"/>
  <c r="K222" i="5" l="1"/>
  <c r="J222" i="5"/>
  <c r="C160" i="5"/>
  <c r="D160" i="5"/>
  <c r="H159" i="5"/>
  <c r="G16" i="6"/>
  <c r="B17" i="6"/>
  <c r="E160" i="5" l="1"/>
  <c r="L222" i="5"/>
  <c r="M222" i="5" s="1"/>
  <c r="N222" i="5" s="1"/>
  <c r="C17" i="6"/>
  <c r="J223" i="5" l="1"/>
  <c r="K223" i="5"/>
  <c r="P160" i="5"/>
  <c r="S160" i="5" s="1"/>
  <c r="F160" i="5"/>
  <c r="G160" i="5" l="1"/>
  <c r="L223" i="5"/>
  <c r="M223" i="5" s="1"/>
  <c r="N223" i="5" s="1"/>
  <c r="J224" i="5" l="1"/>
  <c r="K224" i="5"/>
  <c r="C161" i="5"/>
  <c r="D161" i="5"/>
  <c r="H160" i="5"/>
  <c r="E161" i="5" l="1"/>
  <c r="L224" i="5"/>
  <c r="M224" i="5" s="1"/>
  <c r="N224" i="5" s="1"/>
  <c r="K225" i="5" l="1"/>
  <c r="J225" i="5"/>
  <c r="P161" i="5"/>
  <c r="S161" i="5" s="1"/>
  <c r="F161" i="5"/>
  <c r="L225" i="5" l="1"/>
  <c r="M225" i="5" s="1"/>
  <c r="N225" i="5" s="1"/>
  <c r="G161" i="5"/>
  <c r="K226" i="5" l="1"/>
  <c r="J226" i="5"/>
  <c r="D162" i="5"/>
  <c r="C162" i="5"/>
  <c r="H161" i="5"/>
  <c r="E162" i="5" l="1"/>
  <c r="F162" i="5" s="1"/>
  <c r="G162" i="5" s="1"/>
  <c r="L226" i="5"/>
  <c r="M226" i="5" s="1"/>
  <c r="N226" i="5" s="1"/>
  <c r="J227" i="5" l="1"/>
  <c r="K227" i="5"/>
  <c r="C163" i="5"/>
  <c r="D163" i="5"/>
  <c r="H162" i="5"/>
  <c r="P162" i="5"/>
  <c r="S162" i="5" s="1"/>
  <c r="E163" i="5" l="1"/>
  <c r="F163" i="5" s="1"/>
  <c r="L227" i="5"/>
  <c r="M227" i="5" s="1"/>
  <c r="N227" i="5" s="1"/>
  <c r="J228" i="5" l="1"/>
  <c r="K228" i="5"/>
  <c r="G163" i="5"/>
  <c r="P163" i="5"/>
  <c r="S163" i="5" s="1"/>
  <c r="C164" i="5" l="1"/>
  <c r="D164" i="5"/>
  <c r="H163" i="5"/>
  <c r="L228" i="5"/>
  <c r="M228" i="5" s="1"/>
  <c r="N228" i="5" s="1"/>
  <c r="K229" i="5" l="1"/>
  <c r="J229" i="5"/>
  <c r="E164" i="5"/>
  <c r="F164" i="5" s="1"/>
  <c r="G164" i="5" s="1"/>
  <c r="D165" i="5" l="1"/>
  <c r="C165" i="5"/>
  <c r="H164" i="5"/>
  <c r="L229" i="5"/>
  <c r="M229" i="5" s="1"/>
  <c r="N229" i="5" s="1"/>
  <c r="P164" i="5"/>
  <c r="S164" i="5" s="1"/>
  <c r="K230" i="5" l="1"/>
  <c r="J230" i="5"/>
  <c r="E165" i="5"/>
  <c r="P165" i="5" s="1"/>
  <c r="S165" i="5" s="1"/>
  <c r="L230" i="5" l="1"/>
  <c r="M230" i="5" s="1"/>
  <c r="N230" i="5" s="1"/>
  <c r="F165" i="5"/>
  <c r="G165" i="5" s="1"/>
  <c r="J231" i="5" l="1"/>
  <c r="K231" i="5"/>
  <c r="D166" i="5"/>
  <c r="C166" i="5"/>
  <c r="H165" i="5"/>
  <c r="E166" i="5" l="1"/>
  <c r="P166" i="5" s="1"/>
  <c r="S166" i="5" s="1"/>
  <c r="L231" i="5"/>
  <c r="J22" i="6" s="1"/>
  <c r="F166" i="5" l="1"/>
  <c r="G166" i="5" s="1"/>
  <c r="C167" i="5" s="1"/>
  <c r="M231" i="5"/>
  <c r="N231" i="5" s="1"/>
  <c r="H166" i="5" l="1"/>
  <c r="D167" i="5"/>
  <c r="E167" i="5"/>
  <c r="P167" i="5" s="1"/>
  <c r="S167" i="5" s="1"/>
  <c r="J232" i="5"/>
  <c r="K232" i="5"/>
  <c r="L232" i="5" l="1"/>
  <c r="M232" i="5" s="1"/>
  <c r="N232" i="5" s="1"/>
  <c r="F167" i="5"/>
  <c r="G167" i="5" s="1"/>
  <c r="K233" i="5" l="1"/>
  <c r="J233" i="5"/>
  <c r="D168" i="5"/>
  <c r="C168" i="5"/>
  <c r="H167" i="5"/>
  <c r="E168" i="5" l="1"/>
  <c r="P168" i="5" s="1"/>
  <c r="S168" i="5" s="1"/>
  <c r="L233" i="5"/>
  <c r="M233" i="5" s="1"/>
  <c r="N233" i="5" s="1"/>
  <c r="F168" i="5" l="1"/>
  <c r="G168" i="5" s="1"/>
  <c r="C169" i="5" s="1"/>
  <c r="K234" i="5"/>
  <c r="J234" i="5"/>
  <c r="H168" i="5" l="1"/>
  <c r="D169" i="5"/>
  <c r="E169" i="5"/>
  <c r="P169" i="5" s="1"/>
  <c r="S169" i="5" s="1"/>
  <c r="L234" i="5"/>
  <c r="M234" i="5" s="1"/>
  <c r="N234" i="5" s="1"/>
  <c r="J235" i="5" l="1"/>
  <c r="K235" i="5"/>
  <c r="F169" i="5"/>
  <c r="G169" i="5" s="1"/>
  <c r="C170" i="5" l="1"/>
  <c r="D170" i="5"/>
  <c r="H169" i="5"/>
  <c r="L235" i="5"/>
  <c r="M235" i="5" s="1"/>
  <c r="N235" i="5" s="1"/>
  <c r="J236" i="5" l="1"/>
  <c r="K236" i="5"/>
  <c r="E170" i="5"/>
  <c r="P170" i="5" s="1"/>
  <c r="S170" i="5" s="1"/>
  <c r="F170" i="5" l="1"/>
  <c r="G170" i="5" s="1"/>
  <c r="H170" i="5" s="1"/>
  <c r="L236" i="5"/>
  <c r="M236" i="5" s="1"/>
  <c r="N236" i="5" s="1"/>
  <c r="C171" i="5" l="1"/>
  <c r="E171" i="5" s="1"/>
  <c r="D171" i="5"/>
  <c r="K237" i="5"/>
  <c r="J237" i="5"/>
  <c r="F171" i="5" l="1"/>
  <c r="E17" i="6" s="1"/>
  <c r="K17" i="6" s="1"/>
  <c r="P171" i="5"/>
  <c r="S171" i="5" s="1"/>
  <c r="D17" i="6"/>
  <c r="I17" i="6" s="1"/>
  <c r="L237" i="5"/>
  <c r="M237" i="5" s="1"/>
  <c r="N237" i="5" s="1"/>
  <c r="G171" i="5" l="1"/>
  <c r="C172" i="5" s="1"/>
  <c r="F17" i="6"/>
  <c r="G17" i="6" s="1"/>
  <c r="K238" i="5"/>
  <c r="J238" i="5"/>
  <c r="D172" i="5"/>
  <c r="H171" i="5" l="1"/>
  <c r="B18" i="6"/>
  <c r="C18" i="6" s="1"/>
  <c r="E172" i="5"/>
  <c r="L238" i="5"/>
  <c r="M238" i="5" s="1"/>
  <c r="N238" i="5" s="1"/>
  <c r="J239" i="5" l="1"/>
  <c r="K239" i="5"/>
  <c r="P172" i="5"/>
  <c r="S172" i="5" s="1"/>
  <c r="F172" i="5"/>
  <c r="G172" i="5" l="1"/>
  <c r="L239" i="5"/>
  <c r="M239" i="5" s="1"/>
  <c r="N239" i="5" s="1"/>
  <c r="J240" i="5" l="1"/>
  <c r="K240" i="5"/>
  <c r="C173" i="5"/>
  <c r="D173" i="5"/>
  <c r="H172" i="5"/>
  <c r="E173" i="5" l="1"/>
  <c r="L240" i="5"/>
  <c r="M240" i="5" s="1"/>
  <c r="N240" i="5" s="1"/>
  <c r="K241" i="5" l="1"/>
  <c r="J241" i="5"/>
  <c r="P173" i="5"/>
  <c r="S173" i="5" s="1"/>
  <c r="F173" i="5"/>
  <c r="L241" i="5" l="1"/>
  <c r="M241" i="5" s="1"/>
  <c r="N241" i="5" s="1"/>
  <c r="G173" i="5"/>
  <c r="K242" i="5" l="1"/>
  <c r="J242" i="5"/>
  <c r="C174" i="5"/>
  <c r="D174" i="5"/>
  <c r="H173" i="5"/>
  <c r="E174" i="5" l="1"/>
  <c r="L242" i="5"/>
  <c r="M242" i="5" s="1"/>
  <c r="N242" i="5" s="1"/>
  <c r="J243" i="5" l="1"/>
  <c r="K243" i="5"/>
  <c r="P174" i="5"/>
  <c r="S174" i="5" s="1"/>
  <c r="F174" i="5"/>
  <c r="G174" i="5" l="1"/>
  <c r="L243" i="5"/>
  <c r="J23" i="6" s="1"/>
  <c r="C175" i="5" l="1"/>
  <c r="D175" i="5"/>
  <c r="H174" i="5"/>
  <c r="M243" i="5"/>
  <c r="N243" i="5" s="1"/>
  <c r="J244" i="5" l="1"/>
  <c r="K244" i="5"/>
  <c r="E175" i="5"/>
  <c r="F175" i="5" s="1"/>
  <c r="P175" i="5" l="1"/>
  <c r="S175" i="5" s="1"/>
  <c r="G175" i="5"/>
  <c r="L244" i="5"/>
  <c r="M244" i="5" s="1"/>
  <c r="N244" i="5" s="1"/>
  <c r="K245" i="5" l="1"/>
  <c r="J245" i="5"/>
  <c r="D176" i="5"/>
  <c r="C176" i="5"/>
  <c r="H175" i="5"/>
  <c r="E176" i="5" l="1"/>
  <c r="F176" i="5" s="1"/>
  <c r="G176" i="5" s="1"/>
  <c r="L245" i="5"/>
  <c r="M245" i="5" s="1"/>
  <c r="N245" i="5" s="1"/>
  <c r="K246" i="5" l="1"/>
  <c r="J246" i="5"/>
  <c r="C177" i="5"/>
  <c r="D177" i="5"/>
  <c r="H176" i="5"/>
  <c r="P176" i="5"/>
  <c r="S176" i="5" s="1"/>
  <c r="L246" i="5" l="1"/>
  <c r="M246" i="5" s="1"/>
  <c r="N246" i="5" s="1"/>
  <c r="E177" i="5"/>
  <c r="P177" i="5" s="1"/>
  <c r="S177" i="5" s="1"/>
  <c r="J247" i="5" l="1"/>
  <c r="K247" i="5"/>
  <c r="F177" i="5"/>
  <c r="G177" i="5" s="1"/>
  <c r="C178" i="5" l="1"/>
  <c r="D178" i="5"/>
  <c r="H177" i="5"/>
  <c r="L247" i="5"/>
  <c r="M247" i="5" s="1"/>
  <c r="N247" i="5" s="1"/>
  <c r="J248" i="5" l="1"/>
  <c r="K248" i="5"/>
  <c r="E178" i="5"/>
  <c r="P178" i="5" s="1"/>
  <c r="S178" i="5" s="1"/>
  <c r="F178" i="5" l="1"/>
  <c r="G178" i="5" s="1"/>
  <c r="L248" i="5"/>
  <c r="M248" i="5" s="1"/>
  <c r="N248" i="5" s="1"/>
  <c r="K249" i="5" l="1"/>
  <c r="J249" i="5"/>
  <c r="C179" i="5"/>
  <c r="D179" i="5"/>
  <c r="H178" i="5"/>
  <c r="E179" i="5" l="1"/>
  <c r="P179" i="5" s="1"/>
  <c r="S179" i="5" s="1"/>
  <c r="L249" i="5"/>
  <c r="M249" i="5" s="1"/>
  <c r="N249" i="5" s="1"/>
  <c r="F179" i="5" l="1"/>
  <c r="G179" i="5" s="1"/>
  <c r="D180" i="5" s="1"/>
  <c r="K250" i="5"/>
  <c r="J250" i="5"/>
  <c r="H179" i="5" l="1"/>
  <c r="C180" i="5"/>
  <c r="E180" i="5" s="1"/>
  <c r="P180" i="5" s="1"/>
  <c r="S180" i="5" s="1"/>
  <c r="L250" i="5"/>
  <c r="M250" i="5" s="1"/>
  <c r="N250" i="5" s="1"/>
  <c r="F180" i="5" l="1"/>
  <c r="G180" i="5" s="1"/>
  <c r="J251" i="5"/>
  <c r="K251" i="5"/>
  <c r="C181" i="5" l="1"/>
  <c r="E181" i="5" s="1"/>
  <c r="P181" i="5" s="1"/>
  <c r="S181" i="5" s="1"/>
  <c r="D181" i="5"/>
  <c r="H180" i="5"/>
  <c r="L251" i="5"/>
  <c r="M251" i="5" s="1"/>
  <c r="N251" i="5" s="1"/>
  <c r="J252" i="5" l="1"/>
  <c r="K252" i="5"/>
  <c r="F181" i="5"/>
  <c r="G181" i="5" s="1"/>
  <c r="C182" i="5" l="1"/>
  <c r="D182" i="5"/>
  <c r="H181" i="5"/>
  <c r="L252" i="5"/>
  <c r="M252" i="5" s="1"/>
  <c r="N252" i="5" s="1"/>
  <c r="K253" i="5" l="1"/>
  <c r="J253" i="5"/>
  <c r="E182" i="5"/>
  <c r="P182" i="5" s="1"/>
  <c r="S182" i="5" s="1"/>
  <c r="F182" i="5" l="1"/>
  <c r="G182" i="5" s="1"/>
  <c r="C183" i="5" s="1"/>
  <c r="L253" i="5"/>
  <c r="M253" i="5" s="1"/>
  <c r="N253" i="5" s="1"/>
  <c r="H182" i="5" l="1"/>
  <c r="D183" i="5"/>
  <c r="K254" i="5"/>
  <c r="J254" i="5"/>
  <c r="E183" i="5"/>
  <c r="P183" i="5" l="1"/>
  <c r="S183" i="5" s="1"/>
  <c r="D18" i="6"/>
  <c r="I18" i="6" s="1"/>
  <c r="F183" i="5"/>
  <c r="L254" i="5"/>
  <c r="M254" i="5" s="1"/>
  <c r="N254" i="5" s="1"/>
  <c r="J255" i="5" l="1"/>
  <c r="K255" i="5"/>
  <c r="E18" i="6"/>
  <c r="G183" i="5"/>
  <c r="D184" i="5" l="1"/>
  <c r="C184" i="5"/>
  <c r="H183" i="5"/>
  <c r="K18" i="6"/>
  <c r="F18" i="6"/>
  <c r="L255" i="5"/>
  <c r="J24" i="6" s="1"/>
  <c r="M255" i="5" l="1"/>
  <c r="N255" i="5" s="1"/>
  <c r="G18" i="6"/>
  <c r="B19" i="6"/>
  <c r="E184" i="5"/>
  <c r="P184" i="5" l="1"/>
  <c r="S184" i="5" s="1"/>
  <c r="C19" i="6"/>
  <c r="F184" i="5"/>
  <c r="J256" i="5"/>
  <c r="K256" i="5"/>
  <c r="L256" i="5" l="1"/>
  <c r="M256" i="5" s="1"/>
  <c r="N256" i="5" s="1"/>
  <c r="G184" i="5"/>
  <c r="K257" i="5" l="1"/>
  <c r="J257" i="5"/>
  <c r="C185" i="5"/>
  <c r="D185" i="5"/>
  <c r="H184" i="5"/>
  <c r="E185" i="5" l="1"/>
  <c r="L257" i="5"/>
  <c r="M257" i="5" s="1"/>
  <c r="N257" i="5" s="1"/>
  <c r="K258" i="5" l="1"/>
  <c r="J258" i="5"/>
  <c r="P185" i="5"/>
  <c r="S185" i="5" s="1"/>
  <c r="F185" i="5"/>
  <c r="L258" i="5" l="1"/>
  <c r="M258" i="5" s="1"/>
  <c r="N258" i="5" s="1"/>
  <c r="G185" i="5"/>
  <c r="C186" i="5" l="1"/>
  <c r="D186" i="5"/>
  <c r="H185" i="5"/>
  <c r="J259" i="5"/>
  <c r="K259" i="5"/>
  <c r="L259" i="5" l="1"/>
  <c r="M259" i="5" s="1"/>
  <c r="N259" i="5" s="1"/>
  <c r="E186" i="5"/>
  <c r="F186" i="5" s="1"/>
  <c r="G186" i="5" l="1"/>
  <c r="J260" i="5"/>
  <c r="K260" i="5"/>
  <c r="P186" i="5"/>
  <c r="S186" i="5" s="1"/>
  <c r="L260" i="5" l="1"/>
  <c r="M260" i="5" s="1"/>
  <c r="N260" i="5" s="1"/>
  <c r="C187" i="5"/>
  <c r="D187" i="5"/>
  <c r="H186" i="5"/>
  <c r="K261" i="5" l="1"/>
  <c r="J261" i="5"/>
  <c r="E187" i="5"/>
  <c r="L261" i="5" l="1"/>
  <c r="M261" i="5" s="1"/>
  <c r="N261" i="5" s="1"/>
  <c r="P187" i="5"/>
  <c r="S187" i="5" s="1"/>
  <c r="F187" i="5"/>
  <c r="K262" i="5" l="1"/>
  <c r="J262" i="5"/>
  <c r="G187" i="5"/>
  <c r="D188" i="5" l="1"/>
  <c r="C188" i="5"/>
  <c r="H187" i="5"/>
  <c r="L262" i="5"/>
  <c r="M262" i="5" s="1"/>
  <c r="N262" i="5" s="1"/>
  <c r="J263" i="5" l="1"/>
  <c r="K263" i="5"/>
  <c r="E188" i="5"/>
  <c r="P188" i="5" l="1"/>
  <c r="S188" i="5" s="1"/>
  <c r="F188" i="5"/>
  <c r="L263" i="5"/>
  <c r="M263" i="5" s="1"/>
  <c r="N263" i="5" s="1"/>
  <c r="J264" i="5" l="1"/>
  <c r="K264" i="5"/>
  <c r="G188" i="5"/>
  <c r="C189" i="5" l="1"/>
  <c r="D189" i="5"/>
  <c r="H188" i="5"/>
  <c r="L264" i="5"/>
  <c r="M264" i="5" s="1"/>
  <c r="N264" i="5" s="1"/>
  <c r="K265" i="5" l="1"/>
  <c r="J265" i="5"/>
  <c r="E189" i="5"/>
  <c r="P189" i="5" s="1"/>
  <c r="S189" i="5" s="1"/>
  <c r="F189" i="5" l="1"/>
  <c r="G189" i="5" s="1"/>
  <c r="C190" i="5" s="1"/>
  <c r="L265" i="5"/>
  <c r="M265" i="5" s="1"/>
  <c r="N265" i="5" s="1"/>
  <c r="H189" i="5" l="1"/>
  <c r="D190" i="5"/>
  <c r="K266" i="5"/>
  <c r="J266" i="5"/>
  <c r="E190" i="5"/>
  <c r="P190" i="5" s="1"/>
  <c r="S190" i="5" s="1"/>
  <c r="F190" i="5" l="1"/>
  <c r="G190" i="5" s="1"/>
  <c r="C191" i="5" s="1"/>
  <c r="L266" i="5"/>
  <c r="M266" i="5" s="1"/>
  <c r="N266" i="5" s="1"/>
  <c r="H190" i="5" l="1"/>
  <c r="D191" i="5"/>
  <c r="J267" i="5"/>
  <c r="K267" i="5"/>
  <c r="E191" i="5"/>
  <c r="P191" i="5" s="1"/>
  <c r="S191" i="5" s="1"/>
  <c r="F191" i="5" l="1"/>
  <c r="G191" i="5" s="1"/>
  <c r="L267" i="5"/>
  <c r="J25" i="6" s="1"/>
  <c r="M267" i="5" l="1"/>
  <c r="N267" i="5" s="1"/>
  <c r="D192" i="5"/>
  <c r="C192" i="5"/>
  <c r="H191" i="5"/>
  <c r="E192" i="5" l="1"/>
  <c r="P192" i="5" s="1"/>
  <c r="S192" i="5" s="1"/>
  <c r="J268" i="5"/>
  <c r="K268" i="5"/>
  <c r="L268" i="5" l="1"/>
  <c r="M268" i="5" s="1"/>
  <c r="N268" i="5" s="1"/>
  <c r="F192" i="5"/>
  <c r="G192" i="5" s="1"/>
  <c r="K269" i="5" l="1"/>
  <c r="J269" i="5"/>
  <c r="C193" i="5"/>
  <c r="D193" i="5"/>
  <c r="H192" i="5"/>
  <c r="E193" i="5" l="1"/>
  <c r="P193" i="5" s="1"/>
  <c r="S193" i="5" s="1"/>
  <c r="L269" i="5"/>
  <c r="M269" i="5" s="1"/>
  <c r="N269" i="5" s="1"/>
  <c r="K270" i="5" l="1"/>
  <c r="J270" i="5"/>
  <c r="F193" i="5"/>
  <c r="G193" i="5" s="1"/>
  <c r="C194" i="5" l="1"/>
  <c r="D194" i="5"/>
  <c r="H193" i="5"/>
  <c r="L270" i="5"/>
  <c r="M270" i="5" s="1"/>
  <c r="N270" i="5" s="1"/>
  <c r="J271" i="5" l="1"/>
  <c r="K271" i="5"/>
  <c r="E194" i="5"/>
  <c r="P194" i="5" s="1"/>
  <c r="S194" i="5" s="1"/>
  <c r="F194" i="5" l="1"/>
  <c r="G194" i="5" s="1"/>
  <c r="C195" i="5" s="1"/>
  <c r="L271" i="5"/>
  <c r="M271" i="5" s="1"/>
  <c r="N271" i="5" s="1"/>
  <c r="H194" i="5" l="1"/>
  <c r="D195" i="5"/>
  <c r="J272" i="5"/>
  <c r="K272" i="5"/>
  <c r="E195" i="5"/>
  <c r="P195" i="5" l="1"/>
  <c r="S195" i="5" s="1"/>
  <c r="D19" i="6"/>
  <c r="I19" i="6" s="1"/>
  <c r="F195" i="5"/>
  <c r="L272" i="5"/>
  <c r="M272" i="5" s="1"/>
  <c r="N272" i="5" s="1"/>
  <c r="K273" i="5" l="1"/>
  <c r="J273" i="5"/>
  <c r="E19" i="6"/>
  <c r="G195" i="5"/>
  <c r="D196" i="5" l="1"/>
  <c r="C196" i="5"/>
  <c r="H195" i="5"/>
  <c r="K19" i="6"/>
  <c r="F19" i="6"/>
  <c r="L273" i="5"/>
  <c r="M273" i="5" s="1"/>
  <c r="N273" i="5" s="1"/>
  <c r="K274" i="5" l="1"/>
  <c r="J274" i="5"/>
  <c r="E196" i="5"/>
  <c r="F196" i="5" s="1"/>
  <c r="G196" i="5" s="1"/>
  <c r="G19" i="6"/>
  <c r="B20" i="6"/>
  <c r="C197" i="5" l="1"/>
  <c r="D197" i="5"/>
  <c r="H196" i="5"/>
  <c r="P196" i="5"/>
  <c r="S196" i="5" s="1"/>
  <c r="L274" i="5"/>
  <c r="M274" i="5" s="1"/>
  <c r="N274" i="5" s="1"/>
  <c r="C20" i="6"/>
  <c r="J275" i="5" l="1"/>
  <c r="K275" i="5"/>
  <c r="E197" i="5"/>
  <c r="F197" i="5" s="1"/>
  <c r="G197" i="5" l="1"/>
  <c r="P197" i="5"/>
  <c r="S197" i="5" s="1"/>
  <c r="L275" i="5"/>
  <c r="M275" i="5" s="1"/>
  <c r="N275" i="5" s="1"/>
  <c r="J276" i="5" l="1"/>
  <c r="K276" i="5"/>
  <c r="C198" i="5"/>
  <c r="D198" i="5"/>
  <c r="H197" i="5"/>
  <c r="E198" i="5" l="1"/>
  <c r="L276" i="5"/>
  <c r="M276" i="5" s="1"/>
  <c r="N276" i="5" s="1"/>
  <c r="K277" i="5" l="1"/>
  <c r="J277" i="5"/>
  <c r="P198" i="5"/>
  <c r="S198" i="5" s="1"/>
  <c r="F198" i="5"/>
  <c r="L277" i="5" l="1"/>
  <c r="M277" i="5" s="1"/>
  <c r="N277" i="5" s="1"/>
  <c r="G198" i="5"/>
  <c r="K278" i="5" l="1"/>
  <c r="J278" i="5"/>
  <c r="C199" i="5"/>
  <c r="D199" i="5"/>
  <c r="H198" i="5"/>
  <c r="E199" i="5" l="1"/>
  <c r="F199" i="5" s="1"/>
  <c r="G199" i="5" s="1"/>
  <c r="L278" i="5"/>
  <c r="M278" i="5" s="1"/>
  <c r="N278" i="5" s="1"/>
  <c r="D200" i="5" l="1"/>
  <c r="C200" i="5"/>
  <c r="H199" i="5"/>
  <c r="P199" i="5"/>
  <c r="S199" i="5" s="1"/>
  <c r="J279" i="5"/>
  <c r="K279" i="5"/>
  <c r="L279" i="5" l="1"/>
  <c r="J26" i="6" s="1"/>
  <c r="E200" i="5"/>
  <c r="P200" i="5" l="1"/>
  <c r="S200" i="5" s="1"/>
  <c r="F200" i="5"/>
  <c r="G200" i="5" s="1"/>
  <c r="M279" i="5"/>
  <c r="N279" i="5" s="1"/>
  <c r="J280" i="5" l="1"/>
  <c r="K280" i="5"/>
  <c r="C201" i="5"/>
  <c r="D201" i="5"/>
  <c r="H200" i="5"/>
  <c r="E201" i="5" l="1"/>
  <c r="P201" i="5" s="1"/>
  <c r="S201" i="5" s="1"/>
  <c r="L280" i="5"/>
  <c r="M280" i="5" s="1"/>
  <c r="N280" i="5" s="1"/>
  <c r="K281" i="5" l="1"/>
  <c r="J281" i="5"/>
  <c r="F201" i="5"/>
  <c r="G201" i="5" s="1"/>
  <c r="C202" i="5" l="1"/>
  <c r="D202" i="5"/>
  <c r="H201" i="5"/>
  <c r="L281" i="5"/>
  <c r="M281" i="5" s="1"/>
  <c r="N281" i="5" s="1"/>
  <c r="K282" i="5" l="1"/>
  <c r="J282" i="5"/>
  <c r="E202" i="5"/>
  <c r="P202" i="5" s="1"/>
  <c r="S202" i="5" s="1"/>
  <c r="F202" i="5" l="1"/>
  <c r="G202" i="5" s="1"/>
  <c r="D203" i="5" s="1"/>
  <c r="L282" i="5"/>
  <c r="M282" i="5" s="1"/>
  <c r="N282" i="5" s="1"/>
  <c r="C203" i="5" l="1"/>
  <c r="E203" i="5" s="1"/>
  <c r="P203" i="5" s="1"/>
  <c r="S203" i="5" s="1"/>
  <c r="H202" i="5"/>
  <c r="J283" i="5"/>
  <c r="K283" i="5"/>
  <c r="F203" i="5" l="1"/>
  <c r="G203" i="5" s="1"/>
  <c r="L283" i="5"/>
  <c r="M283" i="5" s="1"/>
  <c r="N283" i="5" s="1"/>
  <c r="J284" i="5" l="1"/>
  <c r="K284" i="5"/>
  <c r="D204" i="5"/>
  <c r="C204" i="5"/>
  <c r="H203" i="5"/>
  <c r="E204" i="5" l="1"/>
  <c r="P204" i="5" s="1"/>
  <c r="S204" i="5" s="1"/>
  <c r="L284" i="5"/>
  <c r="M284" i="5" s="1"/>
  <c r="N284" i="5" s="1"/>
  <c r="F204" i="5" l="1"/>
  <c r="G204" i="5" s="1"/>
  <c r="H204" i="5" s="1"/>
  <c r="K285" i="5"/>
  <c r="J285" i="5"/>
  <c r="C205" i="5" l="1"/>
  <c r="E205" i="5" s="1"/>
  <c r="P205" i="5" s="1"/>
  <c r="S205" i="5" s="1"/>
  <c r="D205" i="5"/>
  <c r="L285" i="5"/>
  <c r="M285" i="5" s="1"/>
  <c r="N285" i="5" s="1"/>
  <c r="K286" i="5" l="1"/>
  <c r="J286" i="5"/>
  <c r="F205" i="5"/>
  <c r="G205" i="5" s="1"/>
  <c r="C206" i="5" l="1"/>
  <c r="D206" i="5"/>
  <c r="H205" i="5"/>
  <c r="L286" i="5"/>
  <c r="M286" i="5" s="1"/>
  <c r="N286" i="5" s="1"/>
  <c r="J287" i="5" l="1"/>
  <c r="K287" i="5"/>
  <c r="E206" i="5"/>
  <c r="P206" i="5" s="1"/>
  <c r="S206" i="5" s="1"/>
  <c r="F206" i="5" l="1"/>
  <c r="G206" i="5" s="1"/>
  <c r="D207" i="5" s="1"/>
  <c r="L287" i="5"/>
  <c r="M287" i="5" s="1"/>
  <c r="N287" i="5" s="1"/>
  <c r="H206" i="5" l="1"/>
  <c r="C207" i="5"/>
  <c r="E207" i="5" s="1"/>
  <c r="J288" i="5"/>
  <c r="K288" i="5"/>
  <c r="P207" i="5" l="1"/>
  <c r="S207" i="5" s="1"/>
  <c r="D20" i="6"/>
  <c r="I20" i="6" s="1"/>
  <c r="F207" i="5"/>
  <c r="L288" i="5"/>
  <c r="M288" i="5" s="1"/>
  <c r="N288" i="5" s="1"/>
  <c r="K289" i="5" l="1"/>
  <c r="J289" i="5"/>
  <c r="E20" i="6"/>
  <c r="G207" i="5"/>
  <c r="D208" i="5" l="1"/>
  <c r="C208" i="5"/>
  <c r="H207" i="5"/>
  <c r="L289" i="5"/>
  <c r="M289" i="5" s="1"/>
  <c r="N289" i="5" s="1"/>
  <c r="K20" i="6"/>
  <c r="F20" i="6"/>
  <c r="K290" i="5" l="1"/>
  <c r="J290" i="5"/>
  <c r="E208" i="5"/>
  <c r="G20" i="6"/>
  <c r="B21" i="6"/>
  <c r="P208" i="5" l="1"/>
  <c r="S208" i="5" s="1"/>
  <c r="F208" i="5"/>
  <c r="L290" i="5"/>
  <c r="M290" i="5" s="1"/>
  <c r="N290" i="5" s="1"/>
  <c r="C21" i="6"/>
  <c r="J291" i="5" l="1"/>
  <c r="K291" i="5"/>
  <c r="G208" i="5"/>
  <c r="C209" i="5" l="1"/>
  <c r="D209" i="5"/>
  <c r="H208" i="5"/>
  <c r="L291" i="5"/>
  <c r="J27" i="6" s="1"/>
  <c r="M291" i="5" l="1"/>
  <c r="N291" i="5" s="1"/>
  <c r="E209" i="5"/>
  <c r="F209" i="5" s="1"/>
  <c r="P209" i="5" l="1"/>
  <c r="S209" i="5" s="1"/>
  <c r="G209" i="5"/>
  <c r="J292" i="5"/>
  <c r="K292" i="5"/>
  <c r="C210" i="5" l="1"/>
  <c r="D210" i="5"/>
  <c r="H209" i="5"/>
  <c r="L292" i="5"/>
  <c r="M292" i="5" s="1"/>
  <c r="N292" i="5" s="1"/>
  <c r="K293" i="5" l="1"/>
  <c r="J293" i="5"/>
  <c r="E210" i="5"/>
  <c r="P210" i="5" l="1"/>
  <c r="S210" i="5" s="1"/>
  <c r="F210" i="5"/>
  <c r="L293" i="5"/>
  <c r="M293" i="5" s="1"/>
  <c r="N293" i="5" s="1"/>
  <c r="K294" i="5" l="1"/>
  <c r="J294" i="5"/>
  <c r="G210" i="5"/>
  <c r="C211" i="5" l="1"/>
  <c r="D211" i="5"/>
  <c r="H210" i="5"/>
  <c r="L294" i="5"/>
  <c r="M294" i="5" s="1"/>
  <c r="N294" i="5" s="1"/>
  <c r="J295" i="5" l="1"/>
  <c r="K295" i="5"/>
  <c r="E211" i="5"/>
  <c r="P211" i="5" l="1"/>
  <c r="S211" i="5" s="1"/>
  <c r="F211" i="5"/>
  <c r="L295" i="5"/>
  <c r="M295" i="5" s="1"/>
  <c r="N295" i="5" s="1"/>
  <c r="J296" i="5" l="1"/>
  <c r="K296" i="5"/>
  <c r="G211" i="5"/>
  <c r="D212" i="5" l="1"/>
  <c r="C212" i="5"/>
  <c r="H211" i="5"/>
  <c r="L296" i="5"/>
  <c r="M296" i="5" s="1"/>
  <c r="N296" i="5" s="1"/>
  <c r="K297" i="5" l="1"/>
  <c r="J297" i="5"/>
  <c r="E212" i="5"/>
  <c r="P212" i="5" l="1"/>
  <c r="S212" i="5" s="1"/>
  <c r="L297" i="5"/>
  <c r="M297" i="5" s="1"/>
  <c r="N297" i="5" s="1"/>
  <c r="F212" i="5"/>
  <c r="G212" i="5" s="1"/>
  <c r="K298" i="5" l="1"/>
  <c r="J298" i="5"/>
  <c r="C213" i="5"/>
  <c r="D213" i="5"/>
  <c r="H212" i="5"/>
  <c r="E213" i="5" l="1"/>
  <c r="P213" i="5" s="1"/>
  <c r="S213" i="5" s="1"/>
  <c r="L298" i="5"/>
  <c r="M298" i="5" s="1"/>
  <c r="N298" i="5" s="1"/>
  <c r="J299" i="5" l="1"/>
  <c r="K299" i="5"/>
  <c r="F213" i="5"/>
  <c r="G213" i="5" s="1"/>
  <c r="L299" i="5" l="1"/>
  <c r="M299" i="5" s="1"/>
  <c r="N299" i="5" s="1"/>
  <c r="C214" i="5"/>
  <c r="D214" i="5"/>
  <c r="H213" i="5"/>
  <c r="J300" i="5" l="1"/>
  <c r="K300" i="5"/>
  <c r="E214" i="5"/>
  <c r="P214" i="5" s="1"/>
  <c r="S214" i="5" s="1"/>
  <c r="F214" i="5" l="1"/>
  <c r="G214" i="5" s="1"/>
  <c r="L300" i="5"/>
  <c r="M300" i="5" s="1"/>
  <c r="N300" i="5" s="1"/>
  <c r="K301" i="5" l="1"/>
  <c r="J301" i="5"/>
  <c r="C215" i="5"/>
  <c r="D215" i="5"/>
  <c r="H214" i="5"/>
  <c r="E215" i="5" l="1"/>
  <c r="P215" i="5" s="1"/>
  <c r="S215" i="5" s="1"/>
  <c r="L301" i="5"/>
  <c r="M301" i="5" s="1"/>
  <c r="N301" i="5" s="1"/>
  <c r="F215" i="5" l="1"/>
  <c r="G215" i="5" s="1"/>
  <c r="D216" i="5" s="1"/>
  <c r="K302" i="5"/>
  <c r="J302" i="5"/>
  <c r="C216" i="5" l="1"/>
  <c r="E216" i="5" s="1"/>
  <c r="P216" i="5" s="1"/>
  <c r="S216" i="5" s="1"/>
  <c r="H215" i="5"/>
  <c r="L302" i="5"/>
  <c r="M302" i="5" s="1"/>
  <c r="N302" i="5" s="1"/>
  <c r="J303" i="5" l="1"/>
  <c r="K303" i="5"/>
  <c r="F216" i="5"/>
  <c r="G216" i="5" s="1"/>
  <c r="C217" i="5" l="1"/>
  <c r="D217" i="5"/>
  <c r="H216" i="5"/>
  <c r="L303" i="5"/>
  <c r="J28" i="6" s="1"/>
  <c r="E217" i="5" l="1"/>
  <c r="P217" i="5" s="1"/>
  <c r="S217" i="5" s="1"/>
  <c r="M303" i="5"/>
  <c r="N303" i="5" s="1"/>
  <c r="J304" i="5" l="1"/>
  <c r="K304" i="5"/>
  <c r="F217" i="5"/>
  <c r="G217" i="5" s="1"/>
  <c r="C218" i="5" l="1"/>
  <c r="D218" i="5"/>
  <c r="H217" i="5"/>
  <c r="L304" i="5"/>
  <c r="M304" i="5" s="1"/>
  <c r="N304" i="5" s="1"/>
  <c r="K305" i="5" l="1"/>
  <c r="J305" i="5"/>
  <c r="E218" i="5"/>
  <c r="P218" i="5" s="1"/>
  <c r="S218" i="5" s="1"/>
  <c r="F218" i="5" l="1"/>
  <c r="G218" i="5" s="1"/>
  <c r="L305" i="5"/>
  <c r="M305" i="5" s="1"/>
  <c r="N305" i="5" s="1"/>
  <c r="K306" i="5" l="1"/>
  <c r="J306" i="5"/>
  <c r="C219" i="5"/>
  <c r="D219" i="5"/>
  <c r="H218" i="5"/>
  <c r="L306" i="5" l="1"/>
  <c r="M306" i="5" s="1"/>
  <c r="N306" i="5" s="1"/>
  <c r="E219" i="5"/>
  <c r="F219" i="5" s="1"/>
  <c r="E21" i="6" l="1"/>
  <c r="F21" i="6" s="1"/>
  <c r="G219" i="5"/>
  <c r="D220" i="5" s="1"/>
  <c r="P219" i="5"/>
  <c r="S219" i="5" s="1"/>
  <c r="D21" i="6"/>
  <c r="I21" i="6" s="1"/>
  <c r="J307" i="5"/>
  <c r="K307" i="5"/>
  <c r="H219" i="5" l="1"/>
  <c r="C220" i="5"/>
  <c r="E220" i="5" s="1"/>
  <c r="F220" i="5" s="1"/>
  <c r="G220" i="5" s="1"/>
  <c r="K21" i="6"/>
  <c r="G21" i="6"/>
  <c r="B22" i="6"/>
  <c r="L307" i="5"/>
  <c r="M307" i="5" s="1"/>
  <c r="N307" i="5" s="1"/>
  <c r="J308" i="5" l="1"/>
  <c r="K308" i="5"/>
  <c r="C22" i="6"/>
  <c r="C221" i="5"/>
  <c r="D221" i="5"/>
  <c r="H220" i="5"/>
  <c r="P220" i="5"/>
  <c r="S220" i="5" s="1"/>
  <c r="E221" i="5" l="1"/>
  <c r="L308" i="5"/>
  <c r="M308" i="5" s="1"/>
  <c r="N308" i="5" s="1"/>
  <c r="K309" i="5" l="1"/>
  <c r="J309" i="5"/>
  <c r="P221" i="5"/>
  <c r="S221" i="5" s="1"/>
  <c r="F221" i="5"/>
  <c r="L309" i="5" l="1"/>
  <c r="M309" i="5" s="1"/>
  <c r="N309" i="5" s="1"/>
  <c r="G221" i="5"/>
  <c r="K310" i="5" l="1"/>
  <c r="J310" i="5"/>
  <c r="C222" i="5"/>
  <c r="D222" i="5"/>
  <c r="H221" i="5"/>
  <c r="E222" i="5" l="1"/>
  <c r="L310" i="5"/>
  <c r="M310" i="5" s="1"/>
  <c r="N310" i="5" s="1"/>
  <c r="J311" i="5" l="1"/>
  <c r="K311" i="5"/>
  <c r="P222" i="5"/>
  <c r="S222" i="5" s="1"/>
  <c r="F222" i="5"/>
  <c r="G222" i="5" l="1"/>
  <c r="L311" i="5"/>
  <c r="M311" i="5" s="1"/>
  <c r="N311" i="5" s="1"/>
  <c r="J312" i="5" l="1"/>
  <c r="K312" i="5"/>
  <c r="C223" i="5"/>
  <c r="D223" i="5"/>
  <c r="H222" i="5"/>
  <c r="E223" i="5" l="1"/>
  <c r="L312" i="5"/>
  <c r="M312" i="5" s="1"/>
  <c r="N312" i="5" s="1"/>
  <c r="K313" i="5" l="1"/>
  <c r="J313" i="5"/>
  <c r="P223" i="5"/>
  <c r="S223" i="5" s="1"/>
  <c r="F223" i="5"/>
  <c r="L313" i="5" l="1"/>
  <c r="M313" i="5" s="1"/>
  <c r="N313" i="5" s="1"/>
  <c r="G223" i="5"/>
  <c r="J314" i="5" l="1"/>
  <c r="K314" i="5"/>
  <c r="D224" i="5"/>
  <c r="C224" i="5"/>
  <c r="H223" i="5"/>
  <c r="E224" i="5" l="1"/>
  <c r="F224" i="5" s="1"/>
  <c r="G224" i="5" s="1"/>
  <c r="L314" i="5"/>
  <c r="M314" i="5" s="1"/>
  <c r="N314" i="5" s="1"/>
  <c r="J315" i="5" l="1"/>
  <c r="K315" i="5"/>
  <c r="C225" i="5"/>
  <c r="D225" i="5"/>
  <c r="H224" i="5"/>
  <c r="P224" i="5"/>
  <c r="S224" i="5" s="1"/>
  <c r="E225" i="5" l="1"/>
  <c r="P225" i="5" s="1"/>
  <c r="S225" i="5" s="1"/>
  <c r="L315" i="5"/>
  <c r="J29" i="6" s="1"/>
  <c r="M315" i="5" l="1"/>
  <c r="N315" i="5" s="1"/>
  <c r="F225" i="5"/>
  <c r="G225" i="5" s="1"/>
  <c r="C226" i="5" l="1"/>
  <c r="D226" i="5"/>
  <c r="H225" i="5"/>
  <c r="J316" i="5"/>
  <c r="K316" i="5"/>
  <c r="L316" i="5" l="1"/>
  <c r="M316" i="5" s="1"/>
  <c r="N316" i="5" s="1"/>
  <c r="E226" i="5"/>
  <c r="P226" i="5" s="1"/>
  <c r="S226" i="5" s="1"/>
  <c r="K317" i="5" l="1"/>
  <c r="J317" i="5"/>
  <c r="F226" i="5"/>
  <c r="G226" i="5" s="1"/>
  <c r="C227" i="5" l="1"/>
  <c r="D227" i="5"/>
  <c r="H226" i="5"/>
  <c r="L317" i="5"/>
  <c r="M317" i="5" s="1"/>
  <c r="N317" i="5" s="1"/>
  <c r="K318" i="5" l="1"/>
  <c r="J318" i="5"/>
  <c r="E227" i="5"/>
  <c r="P227" i="5" s="1"/>
  <c r="S227" i="5" s="1"/>
  <c r="F227" i="5" l="1"/>
  <c r="G227" i="5" s="1"/>
  <c r="L318" i="5"/>
  <c r="M318" i="5" s="1"/>
  <c r="N318" i="5" s="1"/>
  <c r="J319" i="5" l="1"/>
  <c r="K319" i="5"/>
  <c r="D228" i="5"/>
  <c r="C228" i="5"/>
  <c r="H227" i="5"/>
  <c r="E228" i="5" l="1"/>
  <c r="P228" i="5" s="1"/>
  <c r="S228" i="5" s="1"/>
  <c r="L319" i="5"/>
  <c r="M319" i="5" s="1"/>
  <c r="N319" i="5" s="1"/>
  <c r="F228" i="5" l="1"/>
  <c r="G228" i="5" s="1"/>
  <c r="C229" i="5" s="1"/>
  <c r="J320" i="5"/>
  <c r="K320" i="5"/>
  <c r="H228" i="5" l="1"/>
  <c r="D229" i="5"/>
  <c r="L320" i="5"/>
  <c r="M320" i="5" s="1"/>
  <c r="N320" i="5" s="1"/>
  <c r="E229" i="5"/>
  <c r="P229" i="5" s="1"/>
  <c r="S229" i="5" s="1"/>
  <c r="K321" i="5" l="1"/>
  <c r="J321" i="5"/>
  <c r="F229" i="5"/>
  <c r="G229" i="5" s="1"/>
  <c r="C230" i="5" l="1"/>
  <c r="D230" i="5"/>
  <c r="H229" i="5"/>
  <c r="L321" i="5"/>
  <c r="M321" i="5" s="1"/>
  <c r="N321" i="5" s="1"/>
  <c r="J322" i="5" l="1"/>
  <c r="K322" i="5"/>
  <c r="E230" i="5"/>
  <c r="P230" i="5" s="1"/>
  <c r="S230" i="5" s="1"/>
  <c r="F230" i="5" l="1"/>
  <c r="G230" i="5" s="1"/>
  <c r="L322" i="5"/>
  <c r="M322" i="5" s="1"/>
  <c r="N322" i="5" s="1"/>
  <c r="J323" i="5" l="1"/>
  <c r="K323" i="5"/>
  <c r="C231" i="5"/>
  <c r="D231" i="5"/>
  <c r="H230" i="5"/>
  <c r="E231" i="5" l="1"/>
  <c r="F231" i="5" s="1"/>
  <c r="L323" i="5"/>
  <c r="M323" i="5" s="1"/>
  <c r="N323" i="5" s="1"/>
  <c r="J324" i="5" l="1"/>
  <c r="K324" i="5"/>
  <c r="E22" i="6"/>
  <c r="G231" i="5"/>
  <c r="P231" i="5"/>
  <c r="S231" i="5" s="1"/>
  <c r="D22" i="6"/>
  <c r="I22" i="6" s="1"/>
  <c r="K22" i="6" l="1"/>
  <c r="F22" i="6"/>
  <c r="D232" i="5"/>
  <c r="C232" i="5"/>
  <c r="H231" i="5"/>
  <c r="L324" i="5"/>
  <c r="M324" i="5" s="1"/>
  <c r="N324" i="5" s="1"/>
  <c r="K325" i="5" l="1"/>
  <c r="J325" i="5"/>
  <c r="E232" i="5"/>
  <c r="F232" i="5" s="1"/>
  <c r="G22" i="6"/>
  <c r="B23" i="6"/>
  <c r="G232" i="5" l="1"/>
  <c r="C23" i="6"/>
  <c r="L325" i="5"/>
  <c r="M325" i="5" s="1"/>
  <c r="N325" i="5" s="1"/>
  <c r="P232" i="5"/>
  <c r="S232" i="5" s="1"/>
  <c r="K326" i="5" l="1"/>
  <c r="J326" i="5"/>
  <c r="C233" i="5"/>
  <c r="D233" i="5"/>
  <c r="H232" i="5"/>
  <c r="E233" i="5" l="1"/>
  <c r="L326" i="5"/>
  <c r="M326" i="5" s="1"/>
  <c r="N326" i="5" s="1"/>
  <c r="J327" i="5" l="1"/>
  <c r="K327" i="5"/>
  <c r="P233" i="5"/>
  <c r="S233" i="5" s="1"/>
  <c r="F233" i="5"/>
  <c r="G233" i="5" l="1"/>
  <c r="L327" i="5"/>
  <c r="J30" i="6" s="1"/>
  <c r="M327" i="5" l="1"/>
  <c r="N327" i="5" s="1"/>
  <c r="C234" i="5"/>
  <c r="D234" i="5"/>
  <c r="H233" i="5"/>
  <c r="E234" i="5" l="1"/>
  <c r="J328" i="5"/>
  <c r="K328" i="5"/>
  <c r="L328" i="5" l="1"/>
  <c r="M328" i="5" s="1"/>
  <c r="N328" i="5" s="1"/>
  <c r="P234" i="5"/>
  <c r="S234" i="5" s="1"/>
  <c r="F234" i="5"/>
  <c r="K329" i="5" l="1"/>
  <c r="J329" i="5"/>
  <c r="G234" i="5"/>
  <c r="C235" i="5" l="1"/>
  <c r="D235" i="5"/>
  <c r="H234" i="5"/>
  <c r="L329" i="5"/>
  <c r="M329" i="5" s="1"/>
  <c r="N329" i="5" s="1"/>
  <c r="J330" i="5" l="1"/>
  <c r="K330" i="5"/>
  <c r="E235" i="5"/>
  <c r="P235" i="5" l="1"/>
  <c r="S235" i="5" s="1"/>
  <c r="F235" i="5"/>
  <c r="L330" i="5"/>
  <c r="M330" i="5" s="1"/>
  <c r="N330" i="5" s="1"/>
  <c r="J331" i="5" l="1"/>
  <c r="K331" i="5"/>
  <c r="G235" i="5"/>
  <c r="D236" i="5" l="1"/>
  <c r="C236" i="5"/>
  <c r="H235" i="5"/>
  <c r="L331" i="5"/>
  <c r="M331" i="5" s="1"/>
  <c r="N331" i="5" s="1"/>
  <c r="J332" i="5" l="1"/>
  <c r="K332" i="5"/>
  <c r="E236" i="5"/>
  <c r="P236" i="5" l="1"/>
  <c r="S236" i="5" s="1"/>
  <c r="F236" i="5"/>
  <c r="L332" i="5"/>
  <c r="M332" i="5" s="1"/>
  <c r="N332" i="5" s="1"/>
  <c r="K333" i="5" l="1"/>
  <c r="J333" i="5"/>
  <c r="G236" i="5"/>
  <c r="C237" i="5" l="1"/>
  <c r="D237" i="5"/>
  <c r="H236" i="5"/>
  <c r="L333" i="5"/>
  <c r="M333" i="5" s="1"/>
  <c r="N333" i="5" s="1"/>
  <c r="K334" i="5" l="1"/>
  <c r="J334" i="5"/>
  <c r="E237" i="5"/>
  <c r="P237" i="5" s="1"/>
  <c r="S237" i="5" s="1"/>
  <c r="F237" i="5" l="1"/>
  <c r="G237" i="5" s="1"/>
  <c r="D238" i="5" s="1"/>
  <c r="L334" i="5"/>
  <c r="M334" i="5" s="1"/>
  <c r="N334" i="5" s="1"/>
  <c r="C238" i="5" l="1"/>
  <c r="E238" i="5" s="1"/>
  <c r="P238" i="5" s="1"/>
  <c r="S238" i="5" s="1"/>
  <c r="H237" i="5"/>
  <c r="J335" i="5"/>
  <c r="K335" i="5"/>
  <c r="F238" i="5" l="1"/>
  <c r="G238" i="5" s="1"/>
  <c r="L335" i="5"/>
  <c r="M335" i="5" s="1"/>
  <c r="N335" i="5" s="1"/>
  <c r="J336" i="5" l="1"/>
  <c r="K336" i="5"/>
  <c r="C239" i="5"/>
  <c r="D239" i="5"/>
  <c r="H238" i="5"/>
  <c r="E239" i="5" l="1"/>
  <c r="P239" i="5" s="1"/>
  <c r="S239" i="5" s="1"/>
  <c r="L336" i="5"/>
  <c r="M336" i="5" s="1"/>
  <c r="N336" i="5" s="1"/>
  <c r="K337" i="5" l="1"/>
  <c r="J337" i="5"/>
  <c r="F239" i="5"/>
  <c r="G239" i="5" s="1"/>
  <c r="D240" i="5" l="1"/>
  <c r="C240" i="5"/>
  <c r="H239" i="5"/>
  <c r="L337" i="5"/>
  <c r="M337" i="5" s="1"/>
  <c r="N337" i="5" s="1"/>
  <c r="J338" i="5" l="1"/>
  <c r="K338" i="5"/>
  <c r="E240" i="5"/>
  <c r="P240" i="5" s="1"/>
  <c r="S240" i="5" s="1"/>
  <c r="F240" i="5" l="1"/>
  <c r="G240" i="5" s="1"/>
  <c r="L338" i="5"/>
  <c r="M338" i="5" s="1"/>
  <c r="N338" i="5" s="1"/>
  <c r="J339" i="5" l="1"/>
  <c r="K339" i="5"/>
  <c r="C241" i="5"/>
  <c r="D241" i="5"/>
  <c r="H240" i="5"/>
  <c r="E241" i="5" l="1"/>
  <c r="P241" i="5" s="1"/>
  <c r="S241" i="5" s="1"/>
  <c r="L339" i="5"/>
  <c r="J31" i="6" s="1"/>
  <c r="M339" i="5" l="1"/>
  <c r="N339" i="5" s="1"/>
  <c r="F241" i="5"/>
  <c r="G241" i="5" s="1"/>
  <c r="C242" i="5" l="1"/>
  <c r="D242" i="5"/>
  <c r="H241" i="5"/>
  <c r="J340" i="5"/>
  <c r="K340" i="5"/>
  <c r="L340" i="5" l="1"/>
  <c r="M340" i="5" s="1"/>
  <c r="N340" i="5" s="1"/>
  <c r="E242" i="5"/>
  <c r="P242" i="5" s="1"/>
  <c r="S242" i="5" s="1"/>
  <c r="K341" i="5" l="1"/>
  <c r="J341" i="5"/>
  <c r="F242" i="5"/>
  <c r="G242" i="5" s="1"/>
  <c r="C243" i="5" l="1"/>
  <c r="H242" i="5"/>
  <c r="L341" i="5"/>
  <c r="M341" i="5" s="1"/>
  <c r="N341" i="5" s="1"/>
  <c r="K342" i="5" l="1"/>
  <c r="J342" i="5"/>
  <c r="E243" i="5"/>
  <c r="P243" i="5" l="1"/>
  <c r="S243" i="5" s="1"/>
  <c r="D23" i="6"/>
  <c r="I23" i="6" s="1"/>
  <c r="D243" i="5"/>
  <c r="F243" i="5" s="1"/>
  <c r="L342" i="5"/>
  <c r="M342" i="5" s="1"/>
  <c r="N342" i="5" s="1"/>
  <c r="J343" i="5" l="1"/>
  <c r="K343" i="5"/>
  <c r="E23" i="6"/>
  <c r="G243" i="5"/>
  <c r="D244" i="5" l="1"/>
  <c r="C244" i="5"/>
  <c r="H243" i="5"/>
  <c r="K23" i="6"/>
  <c r="F23" i="6"/>
  <c r="L343" i="5"/>
  <c r="M343" i="5" s="1"/>
  <c r="N343" i="5" s="1"/>
  <c r="J344" i="5" l="1"/>
  <c r="K344" i="5"/>
  <c r="E244" i="5"/>
  <c r="G23" i="6"/>
  <c r="B24" i="6"/>
  <c r="C24" i="6" l="1"/>
  <c r="P244" i="5"/>
  <c r="S244" i="5" s="1"/>
  <c r="F244" i="5"/>
  <c r="L344" i="5"/>
  <c r="M344" i="5" s="1"/>
  <c r="N344" i="5" s="1"/>
  <c r="K345" i="5" l="1"/>
  <c r="J345" i="5"/>
  <c r="G244" i="5"/>
  <c r="C245" i="5" l="1"/>
  <c r="D245" i="5"/>
  <c r="H244" i="5"/>
  <c r="L345" i="5"/>
  <c r="M345" i="5" s="1"/>
  <c r="N345" i="5" s="1"/>
  <c r="J346" i="5" l="1"/>
  <c r="K346" i="5"/>
  <c r="E245" i="5"/>
  <c r="F245" i="5" s="1"/>
  <c r="G245" i="5" s="1"/>
  <c r="C246" i="5" l="1"/>
  <c r="D246" i="5"/>
  <c r="H245" i="5"/>
  <c r="P245" i="5"/>
  <c r="S245" i="5" s="1"/>
  <c r="L346" i="5"/>
  <c r="M346" i="5" s="1"/>
  <c r="N346" i="5" s="1"/>
  <c r="J347" i="5" l="1"/>
  <c r="K347" i="5"/>
  <c r="E246" i="5"/>
  <c r="F246" i="5" s="1"/>
  <c r="G246" i="5" s="1"/>
  <c r="C247" i="5" l="1"/>
  <c r="D247" i="5"/>
  <c r="H246" i="5"/>
  <c r="P246" i="5"/>
  <c r="S246" i="5" s="1"/>
  <c r="L347" i="5"/>
  <c r="M347" i="5" s="1"/>
  <c r="N347" i="5" s="1"/>
  <c r="J348" i="5" l="1"/>
  <c r="K348" i="5"/>
  <c r="E247" i="5"/>
  <c r="P247" i="5" l="1"/>
  <c r="S247" i="5" s="1"/>
  <c r="F247" i="5"/>
  <c r="G247" i="5" s="1"/>
  <c r="L348" i="5"/>
  <c r="M348" i="5" s="1"/>
  <c r="N348" i="5" s="1"/>
  <c r="K349" i="5" l="1"/>
  <c r="J349" i="5"/>
  <c r="D248" i="5"/>
  <c r="C248" i="5"/>
  <c r="H247" i="5"/>
  <c r="E248" i="5" l="1"/>
  <c r="F248" i="5" s="1"/>
  <c r="G248" i="5" s="1"/>
  <c r="L349" i="5"/>
  <c r="M349" i="5" s="1"/>
  <c r="N349" i="5" s="1"/>
  <c r="K350" i="5" l="1"/>
  <c r="J350" i="5"/>
  <c r="C249" i="5"/>
  <c r="D249" i="5"/>
  <c r="H248" i="5"/>
  <c r="P248" i="5"/>
  <c r="S248" i="5" s="1"/>
  <c r="E249" i="5" l="1"/>
  <c r="P249" i="5" s="1"/>
  <c r="S249" i="5" s="1"/>
  <c r="L350" i="5"/>
  <c r="M350" i="5" s="1"/>
  <c r="N350" i="5" s="1"/>
  <c r="J351" i="5" l="1"/>
  <c r="K351" i="5"/>
  <c r="F249" i="5"/>
  <c r="G249" i="5" s="1"/>
  <c r="C250" i="5" l="1"/>
  <c r="D250" i="5"/>
  <c r="H249" i="5"/>
  <c r="L351" i="5"/>
  <c r="J32" i="6" s="1"/>
  <c r="M351" i="5" l="1"/>
  <c r="N351" i="5" s="1"/>
  <c r="E250" i="5"/>
  <c r="P250" i="5" s="1"/>
  <c r="S250" i="5" s="1"/>
  <c r="F250" i="5" l="1"/>
  <c r="G250" i="5" s="1"/>
  <c r="J352" i="5"/>
  <c r="K352" i="5"/>
  <c r="L352" i="5" l="1"/>
  <c r="M352" i="5" s="1"/>
  <c r="N352" i="5" s="1"/>
  <c r="C251" i="5"/>
  <c r="D251" i="5"/>
  <c r="H250" i="5"/>
  <c r="K353" i="5" l="1"/>
  <c r="J353" i="5"/>
  <c r="E251" i="5"/>
  <c r="P251" i="5" s="1"/>
  <c r="S251" i="5" s="1"/>
  <c r="L353" i="5" l="1"/>
  <c r="M353" i="5" s="1"/>
  <c r="N353" i="5" s="1"/>
  <c r="F251" i="5"/>
  <c r="G251" i="5" s="1"/>
  <c r="K354" i="5" l="1"/>
  <c r="J354" i="5"/>
  <c r="D252" i="5"/>
  <c r="C252" i="5"/>
  <c r="H251" i="5"/>
  <c r="E252" i="5" l="1"/>
  <c r="P252" i="5" s="1"/>
  <c r="S252" i="5" s="1"/>
  <c r="L354" i="5"/>
  <c r="M354" i="5" s="1"/>
  <c r="N354" i="5" s="1"/>
  <c r="F252" i="5" l="1"/>
  <c r="G252" i="5" s="1"/>
  <c r="H252" i="5" s="1"/>
  <c r="K355" i="5"/>
  <c r="J355" i="5"/>
  <c r="D253" i="5" l="1"/>
  <c r="C253" i="5"/>
  <c r="E253" i="5" s="1"/>
  <c r="P253" i="5" s="1"/>
  <c r="S253" i="5" s="1"/>
  <c r="L355" i="5"/>
  <c r="M355" i="5" s="1"/>
  <c r="N355" i="5" s="1"/>
  <c r="J356" i="5" l="1"/>
  <c r="K356" i="5"/>
  <c r="F253" i="5"/>
  <c r="G253" i="5" s="1"/>
  <c r="C254" i="5" l="1"/>
  <c r="D254" i="5"/>
  <c r="H253" i="5"/>
  <c r="L356" i="5"/>
  <c r="M356" i="5" s="1"/>
  <c r="N356" i="5" s="1"/>
  <c r="J357" i="5" l="1"/>
  <c r="K357" i="5"/>
  <c r="E254" i="5"/>
  <c r="P254" i="5" s="1"/>
  <c r="S254" i="5" s="1"/>
  <c r="F254" i="5" l="1"/>
  <c r="G254" i="5" s="1"/>
  <c r="L357" i="5"/>
  <c r="M357" i="5" s="1"/>
  <c r="N357" i="5" s="1"/>
  <c r="K358" i="5" l="1"/>
  <c r="J358" i="5"/>
  <c r="C255" i="5"/>
  <c r="D255" i="5"/>
  <c r="H254" i="5"/>
  <c r="E255" i="5" l="1"/>
  <c r="F255" i="5" s="1"/>
  <c r="E24" i="6" s="1"/>
  <c r="L358" i="5"/>
  <c r="M358" i="5" s="1"/>
  <c r="N358" i="5" s="1"/>
  <c r="K359" i="5" l="1"/>
  <c r="J359" i="5"/>
  <c r="K24" i="6"/>
  <c r="F24" i="6"/>
  <c r="G255" i="5"/>
  <c r="P255" i="5"/>
  <c r="S255" i="5" s="1"/>
  <c r="D24" i="6"/>
  <c r="I24" i="6" s="1"/>
  <c r="L359" i="5" l="1"/>
  <c r="M359" i="5" s="1"/>
  <c r="N359" i="5" s="1"/>
  <c r="G24" i="6"/>
  <c r="B25" i="6"/>
  <c r="D256" i="5"/>
  <c r="C256" i="5"/>
  <c r="H255" i="5"/>
  <c r="J360" i="5" l="1"/>
  <c r="K360" i="5"/>
  <c r="C25" i="6"/>
  <c r="E256" i="5"/>
  <c r="F256" i="5" s="1"/>
  <c r="G256" i="5" s="1"/>
  <c r="C257" i="5" l="1"/>
  <c r="D257" i="5"/>
  <c r="H256" i="5"/>
  <c r="P256" i="5"/>
  <c r="S256" i="5" s="1"/>
  <c r="L360" i="5"/>
  <c r="M360" i="5" s="1"/>
  <c r="N360" i="5" s="1"/>
  <c r="J361" i="5" l="1"/>
  <c r="K361" i="5"/>
  <c r="E257" i="5"/>
  <c r="F257" i="5" s="1"/>
  <c r="G257" i="5" l="1"/>
  <c r="P257" i="5"/>
  <c r="S257" i="5" s="1"/>
  <c r="L361" i="5"/>
  <c r="M361" i="5" s="1"/>
  <c r="N361" i="5" s="1"/>
  <c r="K362" i="5" l="1"/>
  <c r="J362" i="5"/>
  <c r="C258" i="5"/>
  <c r="D258" i="5"/>
  <c r="H257" i="5"/>
  <c r="E258" i="5" l="1"/>
  <c r="F258" i="5" s="1"/>
  <c r="L362" i="5"/>
  <c r="M362" i="5" s="1"/>
  <c r="N362" i="5" s="1"/>
  <c r="J363" i="5" l="1"/>
  <c r="K363" i="5"/>
  <c r="P258" i="5"/>
  <c r="S258" i="5" s="1"/>
  <c r="G258" i="5"/>
  <c r="C259" i="5" l="1"/>
  <c r="D259" i="5"/>
  <c r="H258" i="5"/>
  <c r="L363" i="5"/>
  <c r="E259" i="5" l="1"/>
  <c r="L364" i="5"/>
  <c r="B22" i="3" s="1"/>
  <c r="J33" i="6"/>
  <c r="M363" i="5"/>
  <c r="N363" i="5" s="1"/>
  <c r="P259" i="5" l="1"/>
  <c r="S259" i="5" s="1"/>
  <c r="F259" i="5"/>
  <c r="G259" i="5" s="1"/>
  <c r="D260" i="5" l="1"/>
  <c r="C260" i="5"/>
  <c r="H259" i="5"/>
  <c r="E260" i="5" l="1"/>
  <c r="F260" i="5" s="1"/>
  <c r="G260" i="5" s="1"/>
  <c r="C261" i="5" l="1"/>
  <c r="D261" i="5"/>
  <c r="H260" i="5"/>
  <c r="P260" i="5"/>
  <c r="S260" i="5" s="1"/>
  <c r="E261" i="5" l="1"/>
  <c r="P261" i="5" s="1"/>
  <c r="S261" i="5" s="1"/>
  <c r="F261" i="5" l="1"/>
  <c r="G261" i="5" s="1"/>
  <c r="C262" i="5" l="1"/>
  <c r="D262" i="5"/>
  <c r="H261" i="5"/>
  <c r="E262" i="5" l="1"/>
  <c r="P262" i="5" s="1"/>
  <c r="S262" i="5" s="1"/>
  <c r="F262" i="5" l="1"/>
  <c r="G262" i="5" s="1"/>
  <c r="C263" i="5" l="1"/>
  <c r="D263" i="5"/>
  <c r="H262" i="5"/>
  <c r="E263" i="5" l="1"/>
  <c r="P263" i="5" s="1"/>
  <c r="S263" i="5" s="1"/>
  <c r="F263" i="5" l="1"/>
  <c r="G263" i="5" s="1"/>
  <c r="D264" i="5" l="1"/>
  <c r="C264" i="5"/>
  <c r="H263" i="5"/>
  <c r="E264" i="5" l="1"/>
  <c r="P264" i="5" s="1"/>
  <c r="S264" i="5" s="1"/>
  <c r="F264" i="5" l="1"/>
  <c r="G264" i="5" s="1"/>
  <c r="C265" i="5" l="1"/>
  <c r="D265" i="5"/>
  <c r="H264" i="5"/>
  <c r="E265" i="5" l="1"/>
  <c r="P265" i="5" s="1"/>
  <c r="S265" i="5" s="1"/>
  <c r="F265" i="5" l="1"/>
  <c r="G265" i="5" s="1"/>
  <c r="C266" i="5" l="1"/>
  <c r="D266" i="5"/>
  <c r="H265" i="5"/>
  <c r="E266" i="5" l="1"/>
  <c r="P266" i="5" s="1"/>
  <c r="S266" i="5" s="1"/>
  <c r="F266" i="5" l="1"/>
  <c r="G266" i="5" s="1"/>
  <c r="C267" i="5" l="1"/>
  <c r="D267" i="5"/>
  <c r="H266" i="5"/>
  <c r="E267" i="5" l="1"/>
  <c r="P267" i="5" l="1"/>
  <c r="S267" i="5" s="1"/>
  <c r="D25" i="6"/>
  <c r="I25" i="6" s="1"/>
  <c r="F267" i="5"/>
  <c r="E25" i="6" l="1"/>
  <c r="G267" i="5"/>
  <c r="D268" i="5" l="1"/>
  <c r="C268" i="5"/>
  <c r="H267" i="5"/>
  <c r="K25" i="6"/>
  <c r="F25" i="6"/>
  <c r="E268" i="5" l="1"/>
  <c r="F268" i="5" s="1"/>
  <c r="G25" i="6"/>
  <c r="B26" i="6"/>
  <c r="G268" i="5" l="1"/>
  <c r="C26" i="6"/>
  <c r="P268" i="5"/>
  <c r="S268" i="5" s="1"/>
  <c r="C269" i="5" l="1"/>
  <c r="D269" i="5"/>
  <c r="H268" i="5"/>
  <c r="E269" i="5" l="1"/>
  <c r="P269" i="5" l="1"/>
  <c r="S269" i="5" s="1"/>
  <c r="F269" i="5"/>
  <c r="G269" i="5" l="1"/>
  <c r="C270" i="5" l="1"/>
  <c r="D270" i="5"/>
  <c r="H269" i="5"/>
  <c r="E270" i="5" l="1"/>
  <c r="F270" i="5" s="1"/>
  <c r="G270" i="5" l="1"/>
  <c r="P270" i="5"/>
  <c r="S270" i="5" s="1"/>
  <c r="C271" i="5" l="1"/>
  <c r="D271" i="5"/>
  <c r="H270" i="5"/>
  <c r="E271" i="5" l="1"/>
  <c r="P271" i="5" l="1"/>
  <c r="S271" i="5" s="1"/>
  <c r="F271" i="5"/>
  <c r="G271" i="5" l="1"/>
  <c r="D272" i="5" l="1"/>
  <c r="C272" i="5"/>
  <c r="H271" i="5"/>
  <c r="E272" i="5" l="1"/>
  <c r="F272" i="5" s="1"/>
  <c r="G272" i="5" l="1"/>
  <c r="P272" i="5"/>
  <c r="S272" i="5" s="1"/>
  <c r="C273" i="5" l="1"/>
  <c r="D273" i="5"/>
  <c r="H272" i="5"/>
  <c r="E273" i="5" l="1"/>
  <c r="P273" i="5" s="1"/>
  <c r="S273" i="5" s="1"/>
  <c r="F273" i="5" l="1"/>
  <c r="G273" i="5" s="1"/>
  <c r="C274" i="5" l="1"/>
  <c r="D274" i="5"/>
  <c r="H273" i="5"/>
  <c r="E274" i="5" l="1"/>
  <c r="P274" i="5" s="1"/>
  <c r="S274" i="5" s="1"/>
  <c r="F274" i="5" l="1"/>
  <c r="G274" i="5" s="1"/>
  <c r="C275" i="5" l="1"/>
  <c r="D275" i="5"/>
  <c r="H274" i="5"/>
  <c r="E275" i="5" l="1"/>
  <c r="P275" i="5" s="1"/>
  <c r="S275" i="5" s="1"/>
  <c r="F275" i="5" l="1"/>
  <c r="G275" i="5" s="1"/>
  <c r="D276" i="5" l="1"/>
  <c r="C276" i="5"/>
  <c r="H275" i="5"/>
  <c r="E276" i="5" l="1"/>
  <c r="P276" i="5" s="1"/>
  <c r="S276" i="5" s="1"/>
  <c r="F276" i="5" l="1"/>
  <c r="G276" i="5" s="1"/>
  <c r="C277" i="5" s="1"/>
  <c r="H276" i="5" l="1"/>
  <c r="D277" i="5"/>
  <c r="E277" i="5"/>
  <c r="P277" i="5" s="1"/>
  <c r="S277" i="5" s="1"/>
  <c r="F277" i="5" l="1"/>
  <c r="G277" i="5" s="1"/>
  <c r="C278" i="5" l="1"/>
  <c r="D278" i="5"/>
  <c r="H277" i="5"/>
  <c r="E278" i="5" l="1"/>
  <c r="P278" i="5" s="1"/>
  <c r="S278" i="5" s="1"/>
  <c r="F278" i="5" l="1"/>
  <c r="G278" i="5" s="1"/>
  <c r="C279" i="5" l="1"/>
  <c r="D279" i="5"/>
  <c r="H278" i="5"/>
  <c r="E279" i="5" l="1"/>
  <c r="P279" i="5" l="1"/>
  <c r="S279" i="5" s="1"/>
  <c r="D26" i="6"/>
  <c r="I26" i="6" s="1"/>
  <c r="F279" i="5"/>
  <c r="E26" i="6" l="1"/>
  <c r="G279" i="5"/>
  <c r="K26" i="6" l="1"/>
  <c r="F26" i="6"/>
  <c r="C280" i="5"/>
  <c r="D280" i="5"/>
  <c r="H279" i="5"/>
  <c r="G26" i="6" l="1"/>
  <c r="B27" i="6"/>
  <c r="E280" i="5"/>
  <c r="C27" i="6" l="1"/>
  <c r="P280" i="5"/>
  <c r="S280" i="5" s="1"/>
  <c r="F280" i="5"/>
  <c r="G280" i="5" l="1"/>
  <c r="C281" i="5" l="1"/>
  <c r="D281" i="5"/>
  <c r="H280" i="5"/>
  <c r="E281" i="5" l="1"/>
  <c r="P281" i="5" l="1"/>
  <c r="S281" i="5" s="1"/>
  <c r="F281" i="5"/>
  <c r="G281" i="5" l="1"/>
  <c r="D282" i="5" l="1"/>
  <c r="C282" i="5"/>
  <c r="H281" i="5"/>
  <c r="E282" i="5" l="1"/>
  <c r="F282" i="5" s="1"/>
  <c r="G282" i="5" l="1"/>
  <c r="P282" i="5"/>
  <c r="S282" i="5" s="1"/>
  <c r="C283" i="5" l="1"/>
  <c r="D283" i="5"/>
  <c r="H282" i="5"/>
  <c r="E283" i="5" l="1"/>
  <c r="P283" i="5" l="1"/>
  <c r="S283" i="5" s="1"/>
  <c r="F283" i="5"/>
  <c r="G283" i="5" l="1"/>
  <c r="C284" i="5" l="1"/>
  <c r="D284" i="5"/>
  <c r="H283" i="5"/>
  <c r="E284" i="5" l="1"/>
  <c r="P284" i="5" l="1"/>
  <c r="S284" i="5" s="1"/>
  <c r="F284" i="5"/>
  <c r="G284" i="5" l="1"/>
  <c r="C285" i="5" l="1"/>
  <c r="D285" i="5"/>
  <c r="H284" i="5"/>
  <c r="E285" i="5" l="1"/>
  <c r="P285" i="5" s="1"/>
  <c r="S285" i="5" s="1"/>
  <c r="F285" i="5" l="1"/>
  <c r="G285" i="5" s="1"/>
  <c r="D286" i="5" l="1"/>
  <c r="C286" i="5"/>
  <c r="H285" i="5"/>
  <c r="E286" i="5" l="1"/>
  <c r="P286" i="5" s="1"/>
  <c r="S286" i="5" s="1"/>
  <c r="F286" i="5" l="1"/>
  <c r="G286" i="5" s="1"/>
  <c r="C287" i="5" l="1"/>
  <c r="D287" i="5"/>
  <c r="H286" i="5"/>
  <c r="E287" i="5" l="1"/>
  <c r="P287" i="5" s="1"/>
  <c r="S287" i="5" s="1"/>
  <c r="F287" i="5" l="1"/>
  <c r="G287" i="5" s="1"/>
  <c r="C288" i="5" l="1"/>
  <c r="D288" i="5"/>
  <c r="H287" i="5"/>
  <c r="E288" i="5" l="1"/>
  <c r="P288" i="5" s="1"/>
  <c r="S288" i="5" s="1"/>
  <c r="F288" i="5" l="1"/>
  <c r="G288" i="5" s="1"/>
  <c r="C289" i="5" l="1"/>
  <c r="D289" i="5"/>
  <c r="H288" i="5"/>
  <c r="E289" i="5" l="1"/>
  <c r="P289" i="5" s="1"/>
  <c r="S289" i="5" s="1"/>
  <c r="F289" i="5" l="1"/>
  <c r="G289" i="5" s="1"/>
  <c r="D290" i="5" l="1"/>
  <c r="C290" i="5"/>
  <c r="H289" i="5"/>
  <c r="E290" i="5" l="1"/>
  <c r="P290" i="5" s="1"/>
  <c r="S290" i="5" s="1"/>
  <c r="F290" i="5" l="1"/>
  <c r="G290" i="5" s="1"/>
  <c r="D291" i="5" s="1"/>
  <c r="C291" i="5" l="1"/>
  <c r="E291" i="5" s="1"/>
  <c r="H290" i="5"/>
  <c r="P291" i="5" l="1"/>
  <c r="S291" i="5" s="1"/>
  <c r="D27" i="6"/>
  <c r="I27" i="6" s="1"/>
  <c r="F291" i="5"/>
  <c r="E27" i="6" l="1"/>
  <c r="G291" i="5"/>
  <c r="K27" i="6" l="1"/>
  <c r="F27" i="6"/>
  <c r="C292" i="5"/>
  <c r="D292" i="5"/>
  <c r="H291" i="5"/>
  <c r="E292" i="5" l="1"/>
  <c r="F292" i="5" s="1"/>
  <c r="G27" i="6"/>
  <c r="B28" i="6"/>
  <c r="C28" i="6" l="1"/>
  <c r="P292" i="5"/>
  <c r="S292" i="5" s="1"/>
  <c r="G292" i="5"/>
  <c r="C293" i="5" l="1"/>
  <c r="D293" i="5"/>
  <c r="H292" i="5"/>
  <c r="E293" i="5" l="1"/>
  <c r="P293" i="5" l="1"/>
  <c r="S293" i="5" s="1"/>
  <c r="F293" i="5"/>
  <c r="G293" i="5" l="1"/>
  <c r="D294" i="5" l="1"/>
  <c r="C294" i="5"/>
  <c r="H293" i="5"/>
  <c r="E294" i="5" l="1"/>
  <c r="P294" i="5" l="1"/>
  <c r="S294" i="5" s="1"/>
  <c r="F294" i="5"/>
  <c r="G294" i="5" l="1"/>
  <c r="C295" i="5" l="1"/>
  <c r="D295" i="5"/>
  <c r="H294" i="5"/>
  <c r="E295" i="5" l="1"/>
  <c r="F295" i="5" s="1"/>
  <c r="G295" i="5" s="1"/>
  <c r="C296" i="5" l="1"/>
  <c r="D296" i="5"/>
  <c r="H295" i="5"/>
  <c r="P295" i="5"/>
  <c r="S295" i="5" s="1"/>
  <c r="E296" i="5" l="1"/>
  <c r="F296" i="5" s="1"/>
  <c r="G296" i="5" s="1"/>
  <c r="C297" i="5" l="1"/>
  <c r="D297" i="5"/>
  <c r="H296" i="5"/>
  <c r="P296" i="5"/>
  <c r="S296" i="5" s="1"/>
  <c r="E297" i="5" l="1"/>
  <c r="P297" i="5" s="1"/>
  <c r="S297" i="5" s="1"/>
  <c r="F297" i="5" l="1"/>
  <c r="G297" i="5" s="1"/>
  <c r="C298" i="5" s="1"/>
  <c r="H297" i="5" l="1"/>
  <c r="D298" i="5"/>
  <c r="E298" i="5"/>
  <c r="P298" i="5" s="1"/>
  <c r="S298" i="5" s="1"/>
  <c r="F298" i="5" l="1"/>
  <c r="G298" i="5" s="1"/>
  <c r="C299" i="5" l="1"/>
  <c r="D299" i="5"/>
  <c r="H298" i="5"/>
  <c r="E299" i="5" l="1"/>
  <c r="P299" i="5" s="1"/>
  <c r="S299" i="5" s="1"/>
  <c r="F299" i="5" l="1"/>
  <c r="G299" i="5" s="1"/>
  <c r="D300" i="5" s="1"/>
  <c r="H299" i="5" l="1"/>
  <c r="C300" i="5"/>
  <c r="E300" i="5" s="1"/>
  <c r="P300" i="5" s="1"/>
  <c r="S300" i="5" s="1"/>
  <c r="F300" i="5" l="1"/>
  <c r="G300" i="5" s="1"/>
  <c r="D301" i="5" s="1"/>
  <c r="H300" i="5" l="1"/>
  <c r="C301" i="5"/>
  <c r="E301" i="5" s="1"/>
  <c r="P301" i="5" s="1"/>
  <c r="S301" i="5" s="1"/>
  <c r="F301" i="5" l="1"/>
  <c r="G301" i="5" s="1"/>
  <c r="D302" i="5" l="1"/>
  <c r="C302" i="5"/>
  <c r="H301" i="5"/>
  <c r="E302" i="5" l="1"/>
  <c r="P302" i="5" s="1"/>
  <c r="S302" i="5" s="1"/>
  <c r="F302" i="5" l="1"/>
  <c r="G302" i="5" s="1"/>
  <c r="D303" i="5" s="1"/>
  <c r="H302" i="5" l="1"/>
  <c r="C303" i="5"/>
  <c r="E303" i="5" s="1"/>
  <c r="F303" i="5" s="1"/>
  <c r="E28" i="6" l="1"/>
  <c r="K28" i="6" s="1"/>
  <c r="G303" i="5"/>
  <c r="D304" i="5" s="1"/>
  <c r="P303" i="5"/>
  <c r="S303" i="5" s="1"/>
  <c r="D28" i="6"/>
  <c r="I28" i="6" s="1"/>
  <c r="C304" i="5" l="1"/>
  <c r="E304" i="5" s="1"/>
  <c r="F304" i="5" s="1"/>
  <c r="F28" i="6"/>
  <c r="B29" i="6" s="1"/>
  <c r="H303" i="5"/>
  <c r="G28" i="6" l="1"/>
  <c r="P304" i="5"/>
  <c r="S304" i="5" s="1"/>
  <c r="G304" i="5"/>
  <c r="C29" i="6"/>
  <c r="C305" i="5" l="1"/>
  <c r="D305" i="5"/>
  <c r="H304" i="5"/>
  <c r="E305" i="5" l="1"/>
  <c r="P305" i="5" l="1"/>
  <c r="S305" i="5" s="1"/>
  <c r="F305" i="5"/>
  <c r="G305" i="5" l="1"/>
  <c r="D306" i="5" l="1"/>
  <c r="C306" i="5"/>
  <c r="H305" i="5"/>
  <c r="E306" i="5" l="1"/>
  <c r="F306" i="5" s="1"/>
  <c r="G306" i="5" l="1"/>
  <c r="P306" i="5"/>
  <c r="S306" i="5" s="1"/>
  <c r="C307" i="5" l="1"/>
  <c r="D307" i="5"/>
  <c r="H306" i="5"/>
  <c r="E307" i="5" l="1"/>
  <c r="F307" i="5" s="1"/>
  <c r="G307" i="5" s="1"/>
  <c r="C308" i="5" l="1"/>
  <c r="D308" i="5"/>
  <c r="H307" i="5"/>
  <c r="P307" i="5"/>
  <c r="S307" i="5" s="1"/>
  <c r="E308" i="5" l="1"/>
  <c r="P308" i="5" l="1"/>
  <c r="S308" i="5" s="1"/>
  <c r="F308" i="5"/>
  <c r="G308" i="5" s="1"/>
  <c r="C309" i="5" l="1"/>
  <c r="D309" i="5"/>
  <c r="H308" i="5"/>
  <c r="E309" i="5" l="1"/>
  <c r="P309" i="5" s="1"/>
  <c r="S309" i="5" s="1"/>
  <c r="F309" i="5" l="1"/>
  <c r="G309" i="5" s="1"/>
  <c r="D310" i="5" l="1"/>
  <c r="C310" i="5"/>
  <c r="H309" i="5"/>
  <c r="E310" i="5" l="1"/>
  <c r="P310" i="5" s="1"/>
  <c r="S310" i="5" s="1"/>
  <c r="F310" i="5" l="1"/>
  <c r="G310" i="5" s="1"/>
  <c r="C311" i="5" l="1"/>
  <c r="D311" i="5"/>
  <c r="H310" i="5"/>
  <c r="E311" i="5" l="1"/>
  <c r="P311" i="5" s="1"/>
  <c r="S311" i="5" s="1"/>
  <c r="F311" i="5" l="1"/>
  <c r="G311" i="5" s="1"/>
  <c r="C312" i="5" l="1"/>
  <c r="D312" i="5"/>
  <c r="H311" i="5"/>
  <c r="E312" i="5" l="1"/>
  <c r="P312" i="5" s="1"/>
  <c r="S312" i="5" s="1"/>
  <c r="F312" i="5" l="1"/>
  <c r="G312" i="5" s="1"/>
  <c r="C313" i="5" l="1"/>
  <c r="D313" i="5"/>
  <c r="H312" i="5"/>
  <c r="E313" i="5" l="1"/>
  <c r="P313" i="5" s="1"/>
  <c r="S313" i="5" s="1"/>
  <c r="F313" i="5" l="1"/>
  <c r="G313" i="5" s="1"/>
  <c r="D314" i="5" l="1"/>
  <c r="C314" i="5"/>
  <c r="H313" i="5"/>
  <c r="E314" i="5" l="1"/>
  <c r="P314" i="5" s="1"/>
  <c r="S314" i="5" s="1"/>
  <c r="F314" i="5" l="1"/>
  <c r="G314" i="5" s="1"/>
  <c r="D315" i="5" s="1"/>
  <c r="H314" i="5" l="1"/>
  <c r="C315" i="5"/>
  <c r="E315" i="5" s="1"/>
  <c r="P315" i="5" l="1"/>
  <c r="S315" i="5" s="1"/>
  <c r="D29" i="6"/>
  <c r="I29" i="6" s="1"/>
  <c r="F315" i="5"/>
  <c r="E29" i="6" l="1"/>
  <c r="G315" i="5"/>
  <c r="C316" i="5" l="1"/>
  <c r="D316" i="5"/>
  <c r="H315" i="5"/>
  <c r="K29" i="6"/>
  <c r="F29" i="6"/>
  <c r="G29" i="6" l="1"/>
  <c r="B30" i="6"/>
  <c r="E316" i="5"/>
  <c r="C30" i="6" l="1"/>
  <c r="P316" i="5"/>
  <c r="S316" i="5" s="1"/>
  <c r="F316" i="5"/>
  <c r="G316" i="5" l="1"/>
  <c r="C317" i="5" l="1"/>
  <c r="D317" i="5"/>
  <c r="H316" i="5"/>
  <c r="E317" i="5" l="1"/>
  <c r="P317" i="5" l="1"/>
  <c r="S317" i="5" s="1"/>
  <c r="F317" i="5"/>
  <c r="G317" i="5" l="1"/>
  <c r="D318" i="5" l="1"/>
  <c r="C318" i="5"/>
  <c r="H317" i="5"/>
  <c r="E318" i="5" l="1"/>
  <c r="F318" i="5" s="1"/>
  <c r="G318" i="5" l="1"/>
  <c r="P318" i="5"/>
  <c r="S318" i="5" s="1"/>
  <c r="C319" i="5" l="1"/>
  <c r="D319" i="5"/>
  <c r="H318" i="5"/>
  <c r="E319" i="5" l="1"/>
  <c r="P319" i="5" l="1"/>
  <c r="S319" i="5" s="1"/>
  <c r="F319" i="5"/>
  <c r="G319" i="5" l="1"/>
  <c r="C320" i="5" l="1"/>
  <c r="D320" i="5"/>
  <c r="H319" i="5"/>
  <c r="E320" i="5" l="1"/>
  <c r="P320" i="5" l="1"/>
  <c r="S320" i="5" s="1"/>
  <c r="F320" i="5"/>
  <c r="G320" i="5" l="1"/>
  <c r="C321" i="5" l="1"/>
  <c r="D321" i="5"/>
  <c r="H320" i="5"/>
  <c r="E321" i="5" l="1"/>
  <c r="P321" i="5" s="1"/>
  <c r="S321" i="5" s="1"/>
  <c r="F321" i="5" l="1"/>
  <c r="G321" i="5" s="1"/>
  <c r="D322" i="5" l="1"/>
  <c r="C322" i="5"/>
  <c r="H321" i="5"/>
  <c r="E322" i="5" l="1"/>
  <c r="P322" i="5" s="1"/>
  <c r="S322" i="5" s="1"/>
  <c r="F322" i="5" l="1"/>
  <c r="G322" i="5" s="1"/>
  <c r="C323" i="5" l="1"/>
  <c r="D323" i="5"/>
  <c r="H322" i="5"/>
  <c r="E323" i="5" l="1"/>
  <c r="P323" i="5" s="1"/>
  <c r="S323" i="5" s="1"/>
  <c r="F323" i="5" l="1"/>
  <c r="G323" i="5" s="1"/>
  <c r="C324" i="5" l="1"/>
  <c r="D324" i="5"/>
  <c r="H323" i="5"/>
  <c r="E324" i="5" l="1"/>
  <c r="P324" i="5" s="1"/>
  <c r="S324" i="5" s="1"/>
  <c r="F324" i="5" l="1"/>
  <c r="G324" i="5" s="1"/>
  <c r="C325" i="5" l="1"/>
  <c r="D325" i="5"/>
  <c r="H324" i="5"/>
  <c r="E325" i="5" l="1"/>
  <c r="P325" i="5" s="1"/>
  <c r="S325" i="5" s="1"/>
  <c r="F325" i="5" l="1"/>
  <c r="G325" i="5" s="1"/>
  <c r="D326" i="5" l="1"/>
  <c r="C326" i="5"/>
  <c r="H325" i="5"/>
  <c r="E326" i="5" l="1"/>
  <c r="P326" i="5" s="1"/>
  <c r="S326" i="5" s="1"/>
  <c r="F326" i="5" l="1"/>
  <c r="G326" i="5" s="1"/>
  <c r="C327" i="5" s="1"/>
  <c r="H326" i="5" l="1"/>
  <c r="D327" i="5"/>
  <c r="E327" i="5"/>
  <c r="P327" i="5" l="1"/>
  <c r="S327" i="5" s="1"/>
  <c r="D30" i="6"/>
  <c r="I30" i="6" s="1"/>
  <c r="F327" i="5"/>
  <c r="E30" i="6" l="1"/>
  <c r="G327" i="5"/>
  <c r="C328" i="5" l="1"/>
  <c r="D328" i="5"/>
  <c r="H327" i="5"/>
  <c r="K30" i="6"/>
  <c r="F30" i="6"/>
  <c r="G30" i="6" l="1"/>
  <c r="B31" i="6"/>
  <c r="E328" i="5"/>
  <c r="C31" i="6" l="1"/>
  <c r="P328" i="5"/>
  <c r="S328" i="5" s="1"/>
  <c r="F328" i="5"/>
  <c r="G328" i="5" l="1"/>
  <c r="C329" i="5" l="1"/>
  <c r="D329" i="5"/>
  <c r="H328" i="5"/>
  <c r="E329" i="5" l="1"/>
  <c r="P329" i="5" l="1"/>
  <c r="S329" i="5" s="1"/>
  <c r="F329" i="5"/>
  <c r="G329" i="5" l="1"/>
  <c r="D330" i="5" l="1"/>
  <c r="C330" i="5"/>
  <c r="H329" i="5"/>
  <c r="E330" i="5" l="1"/>
  <c r="F330" i="5" s="1"/>
  <c r="G330" i="5" l="1"/>
  <c r="P330" i="5"/>
  <c r="S330" i="5" s="1"/>
  <c r="C331" i="5" l="1"/>
  <c r="D331" i="5"/>
  <c r="H330" i="5"/>
  <c r="E331" i="5" l="1"/>
  <c r="P331" i="5" l="1"/>
  <c r="S331" i="5" s="1"/>
  <c r="F331" i="5"/>
  <c r="G331" i="5" l="1"/>
  <c r="C332" i="5" l="1"/>
  <c r="D332" i="5"/>
  <c r="H331" i="5"/>
  <c r="E332" i="5" l="1"/>
  <c r="P332" i="5" l="1"/>
  <c r="S332" i="5" s="1"/>
  <c r="F332" i="5"/>
  <c r="G332" i="5" s="1"/>
  <c r="C333" i="5" l="1"/>
  <c r="D333" i="5"/>
  <c r="H332" i="5"/>
  <c r="E333" i="5" l="1"/>
  <c r="P333" i="5" s="1"/>
  <c r="S333" i="5" s="1"/>
  <c r="F333" i="5" l="1"/>
  <c r="G333" i="5" s="1"/>
  <c r="D334" i="5" l="1"/>
  <c r="C334" i="5"/>
  <c r="H333" i="5"/>
  <c r="E334" i="5" l="1"/>
  <c r="P334" i="5" s="1"/>
  <c r="S334" i="5" s="1"/>
  <c r="F334" i="5" l="1"/>
  <c r="G334" i="5" s="1"/>
  <c r="C335" i="5" s="1"/>
  <c r="H334" i="5" l="1"/>
  <c r="D335" i="5"/>
  <c r="E335" i="5"/>
  <c r="P335" i="5" s="1"/>
  <c r="S335" i="5" s="1"/>
  <c r="F335" i="5" l="1"/>
  <c r="G335" i="5" s="1"/>
  <c r="C336" i="5" l="1"/>
  <c r="D336" i="5"/>
  <c r="H335" i="5"/>
  <c r="E336" i="5" l="1"/>
  <c r="P336" i="5" s="1"/>
  <c r="S336" i="5" s="1"/>
  <c r="F336" i="5" l="1"/>
  <c r="G336" i="5" s="1"/>
  <c r="C337" i="5" l="1"/>
  <c r="D337" i="5"/>
  <c r="H336" i="5"/>
  <c r="E337" i="5" l="1"/>
  <c r="P337" i="5" s="1"/>
  <c r="S337" i="5" s="1"/>
  <c r="F337" i="5" l="1"/>
  <c r="G337" i="5" s="1"/>
  <c r="D338" i="5" l="1"/>
  <c r="C338" i="5"/>
  <c r="H337" i="5"/>
  <c r="E338" i="5" l="1"/>
  <c r="P338" i="5" s="1"/>
  <c r="S338" i="5" s="1"/>
  <c r="F338" i="5" l="1"/>
  <c r="G338" i="5" s="1"/>
  <c r="C339" i="5" s="1"/>
  <c r="H338" i="5" l="1"/>
  <c r="D339" i="5"/>
  <c r="E339" i="5"/>
  <c r="P339" i="5" l="1"/>
  <c r="S339" i="5" s="1"/>
  <c r="D31" i="6"/>
  <c r="I31" i="6" s="1"/>
  <c r="F339" i="5"/>
  <c r="E31" i="6" l="1"/>
  <c r="G339" i="5"/>
  <c r="C340" i="5" l="1"/>
  <c r="D340" i="5"/>
  <c r="H339" i="5"/>
  <c r="K31" i="6"/>
  <c r="F31" i="6"/>
  <c r="G31" i="6" l="1"/>
  <c r="B32" i="6"/>
  <c r="E340" i="5"/>
  <c r="F340" i="5" s="1"/>
  <c r="G340" i="5" s="1"/>
  <c r="P340" i="5" l="1"/>
  <c r="S340" i="5" s="1"/>
  <c r="C341" i="5"/>
  <c r="D341" i="5"/>
  <c r="H340" i="5"/>
  <c r="C32" i="6"/>
  <c r="E341" i="5" l="1"/>
  <c r="P341" i="5" l="1"/>
  <c r="S341" i="5" s="1"/>
  <c r="F341" i="5"/>
  <c r="G341" i="5" l="1"/>
  <c r="D342" i="5" l="1"/>
  <c r="C342" i="5"/>
  <c r="H341" i="5"/>
  <c r="E342" i="5" l="1"/>
  <c r="F342" i="5" s="1"/>
  <c r="G342" i="5" s="1"/>
  <c r="C343" i="5" l="1"/>
  <c r="D343" i="5"/>
  <c r="H342" i="5"/>
  <c r="P342" i="5"/>
  <c r="S342" i="5" s="1"/>
  <c r="E343" i="5" l="1"/>
  <c r="P343" i="5" l="1"/>
  <c r="S343" i="5" s="1"/>
  <c r="F343" i="5"/>
  <c r="G343" i="5" s="1"/>
  <c r="C344" i="5" l="1"/>
  <c r="D344" i="5"/>
  <c r="H343" i="5"/>
  <c r="E344" i="5" l="1"/>
  <c r="P344" i="5" l="1"/>
  <c r="S344" i="5" s="1"/>
  <c r="F344" i="5"/>
  <c r="G344" i="5" s="1"/>
  <c r="C345" i="5" l="1"/>
  <c r="D345" i="5"/>
  <c r="H344" i="5"/>
  <c r="E345" i="5" l="1"/>
  <c r="P345" i="5" s="1"/>
  <c r="S345" i="5" s="1"/>
  <c r="F345" i="5" l="1"/>
  <c r="G345" i="5" s="1"/>
  <c r="D346" i="5" s="1"/>
  <c r="H345" i="5" l="1"/>
  <c r="C346" i="5"/>
  <c r="E346" i="5" s="1"/>
  <c r="P346" i="5" s="1"/>
  <c r="S346" i="5" s="1"/>
  <c r="F346" i="5" l="1"/>
  <c r="G346" i="5" s="1"/>
  <c r="C347" i="5" l="1"/>
  <c r="D347" i="5"/>
  <c r="H346" i="5"/>
  <c r="E347" i="5" l="1"/>
  <c r="P347" i="5" s="1"/>
  <c r="S347" i="5" s="1"/>
  <c r="F347" i="5" l="1"/>
  <c r="G347" i="5" s="1"/>
  <c r="C348" i="5" l="1"/>
  <c r="D348" i="5"/>
  <c r="H347" i="5"/>
  <c r="E348" i="5" l="1"/>
  <c r="P348" i="5" s="1"/>
  <c r="S348" i="5" s="1"/>
  <c r="F348" i="5" l="1"/>
  <c r="G348" i="5" s="1"/>
  <c r="C349" i="5" l="1"/>
  <c r="D349" i="5"/>
  <c r="H348" i="5"/>
  <c r="E349" i="5" l="1"/>
  <c r="P349" i="5" s="1"/>
  <c r="S349" i="5" s="1"/>
  <c r="F349" i="5" l="1"/>
  <c r="G349" i="5" s="1"/>
  <c r="D350" i="5" l="1"/>
  <c r="C350" i="5"/>
  <c r="H349" i="5"/>
  <c r="E350" i="5" l="1"/>
  <c r="P350" i="5" s="1"/>
  <c r="S350" i="5" s="1"/>
  <c r="F350" i="5" l="1"/>
  <c r="G350" i="5" s="1"/>
  <c r="C351" i="5" s="1"/>
  <c r="H350" i="5" l="1"/>
  <c r="D351" i="5"/>
  <c r="E351" i="5"/>
  <c r="P351" i="5" l="1"/>
  <c r="S351" i="5" s="1"/>
  <c r="D32" i="6"/>
  <c r="I32" i="6" s="1"/>
  <c r="F351" i="5"/>
  <c r="E32" i="6" l="1"/>
  <c r="G351" i="5"/>
  <c r="C352" i="5" l="1"/>
  <c r="D352" i="5"/>
  <c r="H351" i="5"/>
  <c r="K32" i="6"/>
  <c r="F32" i="6"/>
  <c r="G32" i="6" l="1"/>
  <c r="B33" i="6"/>
  <c r="E352" i="5"/>
  <c r="C33" i="6" l="1"/>
  <c r="P352" i="5"/>
  <c r="S352" i="5" s="1"/>
  <c r="F352" i="5"/>
  <c r="G352" i="5" l="1"/>
  <c r="C353" i="5" l="1"/>
  <c r="D353" i="5"/>
  <c r="H352" i="5"/>
  <c r="E353" i="5" l="1"/>
  <c r="P353" i="5" l="1"/>
  <c r="S353" i="5" s="1"/>
  <c r="F353" i="5"/>
  <c r="G353" i="5" l="1"/>
  <c r="D354" i="5" l="1"/>
  <c r="C354" i="5"/>
  <c r="H353" i="5"/>
  <c r="E354" i="5" l="1"/>
  <c r="F354" i="5" s="1"/>
  <c r="G354" i="5" l="1"/>
  <c r="P354" i="5"/>
  <c r="S354" i="5" s="1"/>
  <c r="C355" i="5" l="1"/>
  <c r="D355" i="5"/>
  <c r="H354" i="5"/>
  <c r="E355" i="5" l="1"/>
  <c r="P355" i="5" l="1"/>
  <c r="S355" i="5" s="1"/>
  <c r="F355" i="5"/>
  <c r="G355" i="5" l="1"/>
  <c r="C356" i="5" l="1"/>
  <c r="D356" i="5"/>
  <c r="H355" i="5"/>
  <c r="E356" i="5" l="1"/>
  <c r="P356" i="5" l="1"/>
  <c r="S356" i="5" s="1"/>
  <c r="F356" i="5"/>
  <c r="G356" i="5" l="1"/>
  <c r="C357" i="5" l="1"/>
  <c r="D357" i="5"/>
  <c r="H356" i="5"/>
  <c r="E357" i="5" l="1"/>
  <c r="P357" i="5" s="1"/>
  <c r="S357" i="5" s="1"/>
  <c r="F357" i="5" l="1"/>
  <c r="G357" i="5" s="1"/>
  <c r="D358" i="5" l="1"/>
  <c r="C358" i="5"/>
  <c r="H357" i="5"/>
  <c r="E358" i="5" l="1"/>
  <c r="P358" i="5" s="1"/>
  <c r="S358" i="5" s="1"/>
  <c r="F358" i="5" l="1"/>
  <c r="G358" i="5" s="1"/>
  <c r="C359" i="5" l="1"/>
  <c r="D359" i="5"/>
  <c r="H358" i="5"/>
  <c r="E359" i="5" l="1"/>
  <c r="P359" i="5" s="1"/>
  <c r="S359" i="5" s="1"/>
  <c r="F359" i="5" l="1"/>
  <c r="G359" i="5" s="1"/>
  <c r="C360" i="5" l="1"/>
  <c r="D360" i="5"/>
  <c r="H359" i="5"/>
  <c r="E360" i="5" l="1"/>
  <c r="P360" i="5" s="1"/>
  <c r="S360" i="5" s="1"/>
  <c r="F360" i="5" l="1"/>
  <c r="G360" i="5" s="1"/>
  <c r="C361" i="5" l="1"/>
  <c r="D361" i="5"/>
  <c r="H360" i="5"/>
  <c r="E361" i="5" l="1"/>
  <c r="P361" i="5" s="1"/>
  <c r="S361" i="5" s="1"/>
  <c r="F361" i="5" l="1"/>
  <c r="G361" i="5" s="1"/>
  <c r="D362" i="5" l="1"/>
  <c r="C362" i="5"/>
  <c r="H361" i="5"/>
  <c r="E362" i="5" l="1"/>
  <c r="P362" i="5" s="1"/>
  <c r="S362" i="5" s="1"/>
  <c r="F362" i="5" l="1"/>
  <c r="G362" i="5" s="1"/>
  <c r="C363" i="5" l="1"/>
  <c r="D363" i="5"/>
  <c r="H362" i="5"/>
  <c r="E363" i="5" l="1"/>
  <c r="P363" i="5" l="1"/>
  <c r="E364" i="5"/>
  <c r="D33" i="6"/>
  <c r="I33" i="6" s="1"/>
  <c r="F363" i="5"/>
  <c r="E33" i="6" l="1"/>
  <c r="G363" i="5"/>
  <c r="H363" i="5" s="1"/>
  <c r="S363" i="5"/>
  <c r="S364" i="5" s="1"/>
  <c r="B26" i="3" s="1"/>
  <c r="P364" i="5"/>
  <c r="B25" i="3" s="1"/>
  <c r="K33" i="6" l="1"/>
  <c r="F33" i="6"/>
  <c r="G33" i="6" s="1"/>
</calcChain>
</file>

<file path=xl/sharedStrings.xml><?xml version="1.0" encoding="utf-8"?>
<sst xmlns="http://schemas.openxmlformats.org/spreadsheetml/2006/main" count="556" uniqueCount="209">
  <si>
    <t>Interest</t>
  </si>
  <si>
    <t>www.excel-skills.com</t>
  </si>
  <si>
    <t>Annual Interest Rate</t>
  </si>
  <si>
    <t>Loan Repayment</t>
  </si>
  <si>
    <t>% Capital Outstanding</t>
  </si>
  <si>
    <t>Repayment Number</t>
  </si>
  <si>
    <t>Bond Calculator</t>
  </si>
  <si>
    <t>Input Variables</t>
  </si>
  <si>
    <t>Bond Amount</t>
  </si>
  <si>
    <t>Monthly Bond Repayment</t>
  </si>
  <si>
    <t>Total Interest over Bond Period</t>
  </si>
  <si>
    <t>Bond Period in Years</t>
  </si>
  <si>
    <t>Remuneration</t>
  </si>
  <si>
    <t>Operational Expenses</t>
  </si>
  <si>
    <t>Gross Salary</t>
  </si>
  <si>
    <t>Rent Paid</t>
  </si>
  <si>
    <t>Subsidies Received</t>
  </si>
  <si>
    <t>Water, Electricity &amp; Services</t>
  </si>
  <si>
    <t>Commission Received</t>
  </si>
  <si>
    <t>Rates &amp; Taxes</t>
  </si>
  <si>
    <t>Enter the average monthly commission received</t>
  </si>
  <si>
    <t>Total Allowances</t>
  </si>
  <si>
    <t>Repairs &amp; Maintenance</t>
  </si>
  <si>
    <t>Other</t>
  </si>
  <si>
    <t>Levies Paid</t>
  </si>
  <si>
    <t>Enter the total of any other remuneration received</t>
  </si>
  <si>
    <t>Deductions</t>
  </si>
  <si>
    <t>Insurance - Short Term</t>
  </si>
  <si>
    <t>Pension</t>
  </si>
  <si>
    <t>Insurance - Life</t>
  </si>
  <si>
    <t>Medical Aid</t>
  </si>
  <si>
    <t>Medical Costs</t>
  </si>
  <si>
    <t>Retirement Annuity</t>
  </si>
  <si>
    <t>Investments - Retirement Annuities</t>
  </si>
  <si>
    <t>Enter the total UIF deducted</t>
  </si>
  <si>
    <t>Income Tax (PAYE)</t>
  </si>
  <si>
    <t>Investments - Other</t>
  </si>
  <si>
    <t>Enter the total SDL deducted</t>
  </si>
  <si>
    <t>Unemployment Fund (UIF)</t>
  </si>
  <si>
    <t>Donations</t>
  </si>
  <si>
    <t>Skills Development Levy (SDL)</t>
  </si>
  <si>
    <t>Education</t>
  </si>
  <si>
    <t>This amount represents the monthly combined net remuneration</t>
  </si>
  <si>
    <t>Other Deductions</t>
  </si>
  <si>
    <t>Fuel &amp; Vehicle Maintenance</t>
  </si>
  <si>
    <t>Total Deductions</t>
  </si>
  <si>
    <t>Television Rental</t>
  </si>
  <si>
    <t>Enter the monthly average rental income received from existing buy to let properties</t>
  </si>
  <si>
    <t>Net Remuneration</t>
  </si>
  <si>
    <t>Memberships</t>
  </si>
  <si>
    <t>Enter monthly maintenance amount received from a previous spouse</t>
  </si>
  <si>
    <t>Subscriptions</t>
  </si>
  <si>
    <t>Enter the total monthly pension received</t>
  </si>
  <si>
    <t>Other Income</t>
  </si>
  <si>
    <t>Domestic Wages</t>
  </si>
  <si>
    <t>Dividend Income</t>
  </si>
  <si>
    <t>Gardening</t>
  </si>
  <si>
    <t>Rental Income</t>
  </si>
  <si>
    <t>Groceries</t>
  </si>
  <si>
    <t>Enter the monthly rates and taxes paid on properties owned</t>
  </si>
  <si>
    <t>Maintenance</t>
  </si>
  <si>
    <t>Clothing</t>
  </si>
  <si>
    <t>Enter the average monthly repairs and maintenance on existing properties</t>
  </si>
  <si>
    <t>Monthly Pension</t>
  </si>
  <si>
    <t>Entertainment</t>
  </si>
  <si>
    <t>Total Other Income</t>
  </si>
  <si>
    <t>Maintenance Payments</t>
  </si>
  <si>
    <t>Enter the average monthly telephone, cell phone and internet expense</t>
  </si>
  <si>
    <t>Enter the current monthly insurance premium</t>
  </si>
  <si>
    <t>Total Operational Expenses</t>
  </si>
  <si>
    <t>Enter the current monthly life insurance premium</t>
  </si>
  <si>
    <t>Financing Expenses</t>
  </si>
  <si>
    <t>Enter the total monthly premiums associated with retirement annuities</t>
  </si>
  <si>
    <t>Bond Repayments</t>
  </si>
  <si>
    <t>Enter the average monthly payments relating to other investments</t>
  </si>
  <si>
    <t>Personal Loan Instalments</t>
  </si>
  <si>
    <t>Financing - Motor Vehicles</t>
  </si>
  <si>
    <t>Financing - Computers</t>
  </si>
  <si>
    <t>Financing - Furniture</t>
  </si>
  <si>
    <t>Credit Card Repayments</t>
  </si>
  <si>
    <t>Bank Charges</t>
  </si>
  <si>
    <t>Total Financing Expenses</t>
  </si>
  <si>
    <t>Enter the average monthly cost associated with gardening services / landscaping</t>
  </si>
  <si>
    <t>Enter the average monthly grocery spend</t>
  </si>
  <si>
    <t>Net Disposable Income Calculation</t>
  </si>
  <si>
    <t>Enter the average monthly clothing spend</t>
  </si>
  <si>
    <t>Enter the average monthly cost associated with entertainment, take-outs and restaurants</t>
  </si>
  <si>
    <t>Add: Other Income</t>
  </si>
  <si>
    <t>Less: Operational Expenses</t>
  </si>
  <si>
    <t>Less: Financing Expenses</t>
  </si>
  <si>
    <t>Net Disposable Income</t>
  </si>
  <si>
    <t>Input Field Guidance</t>
  </si>
  <si>
    <t>Interest Rate Safety</t>
  </si>
  <si>
    <t>Annual Interest Rate Sensitivity</t>
  </si>
  <si>
    <t>Average Annual Inflation Rate</t>
  </si>
  <si>
    <t>Bond Repayment</t>
  </si>
  <si>
    <t>PV Factor</t>
  </si>
  <si>
    <t>PV Interest</t>
  </si>
  <si>
    <t>Year 1</t>
  </si>
  <si>
    <t>Year 2</t>
  </si>
  <si>
    <t>Year 3</t>
  </si>
  <si>
    <t>Year 4</t>
  </si>
  <si>
    <t>Year 5</t>
  </si>
  <si>
    <t>Year 6</t>
  </si>
  <si>
    <t>Year 7</t>
  </si>
  <si>
    <t>Year 8</t>
  </si>
  <si>
    <t>Year 9</t>
  </si>
  <si>
    <t>Year 10</t>
  </si>
  <si>
    <t>Year 11</t>
  </si>
  <si>
    <t>Year 12</t>
  </si>
  <si>
    <t>Year 13</t>
  </si>
  <si>
    <t>Year 14</t>
  </si>
  <si>
    <t>Year 15</t>
  </si>
  <si>
    <t>Year 16</t>
  </si>
  <si>
    <t>Year 17</t>
  </si>
  <si>
    <t>Year 18</t>
  </si>
  <si>
    <t>Year 19</t>
  </si>
  <si>
    <t>Year 20</t>
  </si>
  <si>
    <t>Annual Amortization Table</t>
  </si>
  <si>
    <t>Year 21</t>
  </si>
  <si>
    <t>Year 22</t>
  </si>
  <si>
    <t>Year 23</t>
  </si>
  <si>
    <t>Year 24</t>
  </si>
  <si>
    <t>Year 25</t>
  </si>
  <si>
    <t>Year 26</t>
  </si>
  <si>
    <t>Year 27</t>
  </si>
  <si>
    <t>Year 28</t>
  </si>
  <si>
    <t>Year 29</t>
  </si>
  <si>
    <t>Year 30</t>
  </si>
  <si>
    <t>Total Adjusted Interest over Bond Period</t>
  </si>
  <si>
    <t>Interest Saving</t>
  </si>
  <si>
    <t>Present Value of Interest Saving</t>
  </si>
  <si>
    <t>Years</t>
  </si>
  <si>
    <t>Amortization</t>
  </si>
  <si>
    <t>Increased Instalment</t>
  </si>
  <si>
    <t>Capital Repayment</t>
  </si>
  <si>
    <t>Minimum Required Net Disposable Income</t>
  </si>
  <si>
    <t>AnnualAmort Sheet</t>
  </si>
  <si>
    <t>NetDisposable Sheet</t>
  </si>
  <si>
    <t>BondCalculator Sheet</t>
  </si>
  <si>
    <t>MonthAmort Sheet</t>
  </si>
  <si>
    <t>Additional Monthly Bond Repayment</t>
  </si>
  <si>
    <t>Enter the average monthly vehicle fuel and maintenance costs</t>
  </si>
  <si>
    <t>Enter the monthly subscription fee applicable to television / cable rentals</t>
  </si>
  <si>
    <t>Enter the total monthly subscription fees applicable to newspapers, magazines, etc.</t>
  </si>
  <si>
    <t>Calculation Results:</t>
  </si>
  <si>
    <t>Monthly Amortization Table</t>
  </si>
  <si>
    <t>Excel Skills | Bond Calculator Template</t>
  </si>
  <si>
    <t>Instructions</t>
  </si>
  <si>
    <t>Telephone / Cell Phone / Internet</t>
  </si>
  <si>
    <t>Enter the combined monthly gross household salaries</t>
  </si>
  <si>
    <t>Enter total of all subsidies received as part of remuneration, e.g.. housing subsidy</t>
  </si>
  <si>
    <t>Enter the total monthly allowances received as part of remuneration, e.g.. travel allowance, cell phone allowance, etc.</t>
  </si>
  <si>
    <t>Enter the total monthly pension fund deductions</t>
  </si>
  <si>
    <t>Enter the total monthly medical aid deductions</t>
  </si>
  <si>
    <t>Enter the total monthly retirement annuity contributions</t>
  </si>
  <si>
    <t>Enter the total monthly income tax deducted</t>
  </si>
  <si>
    <t>Enter the total of all other deductions, e.g.. funeral plan</t>
  </si>
  <si>
    <t>Enter the average monthly dividend income</t>
  </si>
  <si>
    <t>Enter the total monthly rent paid. If a primary residence is being acquired and a property is currently being rented, the rent amount should be excluded from the calculation</t>
  </si>
  <si>
    <t>Enter the monthly average for water, electricity and services paid to local government</t>
  </si>
  <si>
    <t>Enter the monthly levy payable to a body corporate for properties that form part of a complex</t>
  </si>
  <si>
    <t>Enter the average monthly medical costs that are not covered by a medical aid</t>
  </si>
  <si>
    <t>Enter the average monthly donations amount</t>
  </si>
  <si>
    <t>Enter the average monthly education cost, e.g.. school fees</t>
  </si>
  <si>
    <t>Enter the monthly average membership cost, e.g.. gym membership</t>
  </si>
  <si>
    <t>Enter the total monthly domestic wages, e.g.. housekeeper wages, gardener wages, etc.</t>
  </si>
  <si>
    <t>Enter a monthly total for maintenance payments relating to estranged spouses and dependents</t>
  </si>
  <si>
    <t>Enter total monthly cost of any other expense items that do not form part of any of the other categories</t>
  </si>
  <si>
    <t>Enter a monthly total for existing bond repayments</t>
  </si>
  <si>
    <t>Enter a monthly total for personal loan repayments</t>
  </si>
  <si>
    <t>Enter a monthly total for motor finance repayments</t>
  </si>
  <si>
    <t>Enter a monthly total for computer finance repayments</t>
  </si>
  <si>
    <t>Enter a monthly total for furniture finance repayments</t>
  </si>
  <si>
    <t>Enter a monthly total for credit card repayments</t>
  </si>
  <si>
    <t>Enter the average monthly combined bank charges</t>
  </si>
  <si>
    <t>Enter a total for any other financing payments that do not form part of the other financing cost categories</t>
  </si>
  <si>
    <t>Note: If you're experiencing any difficulty in completing this spreadsheet, we recommend using our Personal Finance template to analyze your monthly household expenses.</t>
  </si>
  <si>
    <t>Total Gross Remuneration</t>
  </si>
  <si>
    <t>Calculation Results</t>
  </si>
  <si>
    <t>Opening Balance</t>
  </si>
  <si>
    <t>Closing Balance</t>
  </si>
  <si>
    <t>Interest Charged</t>
  </si>
  <si>
    <t>Capital Repaid</t>
  </si>
  <si>
    <t>The following sheets are included in this template:</t>
  </si>
  <si>
    <t>Maximum Bond Qualification Amount</t>
  </si>
  <si>
    <t>Increased Instalment Repayment Amount</t>
  </si>
  <si>
    <t>Adjusted Bond Repayment Period (in months)</t>
  </si>
  <si>
    <t>Adjusted Bond Repayment Period (in years)</t>
  </si>
  <si>
    <t>Monthly Difference</t>
  </si>
  <si>
    <t>All the calculations in this template are based on the values that are entered in the input cells from cell B4 to B9 on the BondCalculator sheet (except for the net disposable income calculation). Input guidance is displayed below the selected input cell. We have also added data validation to all input cells to ensure that only valid user input is accepted.</t>
  </si>
  <si>
    <t>This sheet includes a monthly amortization table that is based on the bond input values that are entered in cell B4 to B6 on the BondCalculator sheet.</t>
  </si>
  <si>
    <t>Total Bond Repayment over Bond Period</t>
  </si>
  <si>
    <t>© www.excel-skills.com</t>
  </si>
  <si>
    <t>This sheet includes a detailed calculation of the monthly net disposable income. All values should be entered as positive values. Refer to the guidance included from row 38 downwards for more information on the input that is required in each input cell.</t>
  </si>
  <si>
    <t>Bond calculators are sometimes also referred to as home loan calculators or mortgage calculators. The aim of this free template is to enable users to calculate monthly bond repayments, determine the affordability of a home loan, calculate the interest savings that result from increased bond instalments and measure the sensitivity of bond repayments to changes in interest rates. After using this template, you will gain a better understanding of home loan amortization and the timing of capital repayments on a bond.</t>
  </si>
  <si>
    <t>Capital 
Repaid</t>
  </si>
  <si>
    <t>■ The monthly bond repayment amount is calculated from the bond principle amount (cell B4), bond period (cell B6) and the annual interest rate (cell B5).</t>
  </si>
  <si>
    <t>■ The total bond repayment over the bond period is the sum of all the monthly bond repayment amounts. This amount consists of all interest charges and capital repayments.</t>
  </si>
  <si>
    <t>■ The monthly net disposable Income is calculated on the NetDisposable sheet - refer to this sheet for more information on the calculation method.</t>
  </si>
  <si>
    <t>■ The maximum bond qualification amount is calculated based on the net disposable income, annual interest rate and bond period. It represents an estimate of the maximum bond amount that applicants can qualify for based on their combined monthly net disposable income. There are a number of other factors that financial institutions will consider when determining the maximum bond qualification amount - our calculation should therefore only be seen as an estimate which cannot be guaranteed.</t>
  </si>
  <si>
    <t>■ The minimum required net disposable income is the minimum net disposable income that is required in order to qualify for the bond principle amount that is entered in cell B4.</t>
  </si>
  <si>
    <t>■ The interest rate safety percentage indicates the percentage by which interest rates have to increase before the monthly net disposable income would be insufficient to cover the monthly bond repayments.</t>
  </si>
  <si>
    <t>■ The capital repayment chart is a visual display of the timing of capital repayments over the bond period.</t>
  </si>
  <si>
    <t>■ The increased instalment interest saving chart is a visual display of the interest savings that result from effecting increased monthly bond repayments.</t>
  </si>
  <si>
    <t>■ The total interest paid over the entire bond period is the total amount of interest paid over the bond period.</t>
  </si>
  <si>
    <t>■ The increased instalment calculations in row 21 to 26 are based on the additional monthly bond repayment entered in cell B7. The assumption is made that the entire additional bond repayments are deducted from the outstanding capital balance, thereby resulting in a shorter bond repayment period. Note that the present value of the interest saving is calculated by discounting the monthly interest savings by the average annual inflation rate over the entire bond period. It therefore represents the value of future interest savings in today's monetary terms.</t>
  </si>
  <si>
    <t>■ The interest rate sensitivity calculation measures the effect that changes in the bond interest rate have on monthly bond repayments. The interest rate sensitivity percentage entered in cell B8 is used for this purpose.</t>
  </si>
  <si>
    <t>This sheet includes an annual amortization table based on the bond input values entered in cell B4 to B6 on the BondCalculator sheet. We recommend that you pay special attention to the outstanding capital percentage in column G as it indicates how the capital will be repaid over the entire bond period. Notice that during the first few years of the bond repayment period, the monthly bond repayments consist almost entirely of interest.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</si>
</sst>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 #,##0.00_ ;_ * \-#,##0.00_ ;_ * &quot;-&quot;??_ ;_ @_ "/>
    <numFmt numFmtId="165" formatCode="0.0%"/>
    <numFmt numFmtId="166" formatCode="_ * #,##0_ ;_ * \-#,##0_ ;_ * &quot;-&quot;??_ ;_ @_ "/>
    <numFmt numFmtId="167" formatCode="#,##0.000_ ;\-#,##0.000\ "/>
    <numFmt numFmtId="168" formatCode="_ * #,##0.00_ ;_ * \-#,##0.00_ ;_ * &quot;-&quot;???_ ;_ @_ "/>
  </numFmts>
  <fonts count="29" x14ac:knownFonts="1">
    <font>
      <sz val="10"/>
      <name val="Century Gothic"/>
      <family val="2"/>
      <scheme val="minor"/>
    </font>
    <font>
      <sz val="10"/>
      <name val="Arial"/>
      <family val="2"/>
    </font>
    <font>
      <u/>
      <sz val="8"/>
      <color indexed="12"/>
      <name val="Arial"/>
      <family val="2"/>
    </font>
    <font>
      <sz val="8"/>
      <name val="Arial"/>
      <family val="2"/>
    </font>
    <font>
      <sz val="10"/>
      <name val="Arial"/>
      <family val="2"/>
    </font>
    <font>
      <sz val="8"/>
      <name val="Arial"/>
      <family val="2"/>
    </font>
    <font>
      <sz val="11"/>
      <name val="Century Gothic"/>
      <family val="2"/>
      <scheme val="minor"/>
    </font>
    <font>
      <b/>
      <sz val="10"/>
      <name val="Century Gothic"/>
      <family val="2"/>
      <scheme val="minor"/>
    </font>
    <font>
      <sz val="10"/>
      <name val="Century Gothic"/>
      <family val="2"/>
      <scheme val="minor"/>
    </font>
    <font>
      <i/>
      <sz val="10"/>
      <name val="Century Gothic"/>
      <family val="2"/>
      <scheme val="minor"/>
    </font>
    <font>
      <b/>
      <u/>
      <sz val="10"/>
      <color indexed="17"/>
      <name val="Century Gothic"/>
      <family val="2"/>
      <scheme val="minor"/>
    </font>
    <font>
      <b/>
      <sz val="12"/>
      <name val="Century Gothic"/>
      <family val="2"/>
      <scheme val="minor"/>
    </font>
    <font>
      <b/>
      <u/>
      <sz val="10"/>
      <color theme="4" tint="-0.249977111117893"/>
      <name val="Century Gothic"/>
      <family val="2"/>
      <scheme val="minor"/>
    </font>
    <font>
      <b/>
      <sz val="12"/>
      <color indexed="8"/>
      <name val="Century Gothic"/>
      <family val="2"/>
      <scheme val="minor"/>
    </font>
    <font>
      <b/>
      <sz val="10"/>
      <color indexed="8"/>
      <name val="Century Gothic"/>
      <family val="2"/>
      <scheme val="minor"/>
    </font>
    <font>
      <sz val="10"/>
      <color indexed="9"/>
      <name val="Century Gothic"/>
      <family val="2"/>
      <scheme val="minor"/>
    </font>
    <font>
      <sz val="10"/>
      <color theme="0"/>
      <name val="Century Gothic"/>
      <family val="2"/>
      <scheme val="minor"/>
    </font>
    <font>
      <b/>
      <sz val="10"/>
      <color indexed="9"/>
      <name val="Century Gothic"/>
      <family val="2"/>
      <scheme val="minor"/>
    </font>
    <font>
      <sz val="10"/>
      <color indexed="8"/>
      <name val="Century Gothic"/>
      <family val="2"/>
      <scheme val="minor"/>
    </font>
    <font>
      <sz val="10"/>
      <color indexed="12"/>
      <name val="Century Gothic"/>
      <family val="2"/>
      <scheme val="minor"/>
    </font>
    <font>
      <b/>
      <sz val="10"/>
      <color indexed="12"/>
      <name val="Century Gothic"/>
      <family val="2"/>
      <scheme val="minor"/>
    </font>
    <font>
      <b/>
      <sz val="9"/>
      <name val="Century Gothic"/>
      <family val="2"/>
      <scheme val="minor"/>
    </font>
    <font>
      <sz val="9"/>
      <color indexed="10"/>
      <name val="Century Gothic"/>
      <family val="2"/>
      <scheme val="minor"/>
    </font>
    <font>
      <sz val="9"/>
      <color indexed="17"/>
      <name val="Century Gothic"/>
      <family val="2"/>
      <scheme val="minor"/>
    </font>
    <font>
      <b/>
      <sz val="9"/>
      <color indexed="17"/>
      <name val="Century Gothic"/>
      <family val="2"/>
      <scheme val="minor"/>
    </font>
    <font>
      <b/>
      <sz val="9"/>
      <color indexed="10"/>
      <name val="Century Gothic"/>
      <family val="2"/>
      <scheme val="minor"/>
    </font>
    <font>
      <sz val="9"/>
      <color theme="0"/>
      <name val="Century Gothic"/>
      <family val="2"/>
      <scheme val="minor"/>
    </font>
    <font>
      <sz val="9"/>
      <name val="Century Gothic"/>
      <family val="2"/>
      <scheme val="minor"/>
    </font>
    <font>
      <b/>
      <sz val="9"/>
      <color indexed="12"/>
      <name val="Century Gothic"/>
      <family val="2"/>
      <scheme val="minor"/>
    </font>
  </fonts>
  <fills count="5">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theme="4" tint="-0.499984740745262"/>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top style="double">
        <color indexed="64"/>
      </top>
      <bottom/>
      <diagonal/>
    </border>
    <border>
      <left style="thin">
        <color indexed="22"/>
      </left>
      <right style="thin">
        <color indexed="22"/>
      </right>
      <top style="thin">
        <color indexed="22"/>
      </top>
      <bottom style="thin">
        <color indexed="22"/>
      </bottom>
      <diagonal/>
    </border>
  </borders>
  <cellStyleXfs count="7">
    <xf numFmtId="0" fontId="0" fillId="0" borderId="0">
      <alignment wrapText="1"/>
    </xf>
    <xf numFmtId="164" fontId="1" fillId="0" borderId="0" applyFont="0" applyFill="0" applyBorder="0" applyAlignment="0" applyProtection="0">
      <alignment wrapText="1"/>
    </xf>
    <xf numFmtId="0" fontId="2" fillId="0" borderId="0" applyNumberFormat="0" applyFill="0" applyBorder="0" applyAlignment="0" applyProtection="0">
      <alignment vertical="top"/>
      <protection locked="0"/>
    </xf>
    <xf numFmtId="0" fontId="4" fillId="0" borderId="0"/>
    <xf numFmtId="0" fontId="4" fillId="0" borderId="0"/>
    <xf numFmtId="0" fontId="4" fillId="0" borderId="0"/>
    <xf numFmtId="9" fontId="1" fillId="0" borderId="0" applyFont="0" applyFill="0" applyBorder="0" applyAlignment="0" applyProtection="0">
      <alignment wrapText="1"/>
    </xf>
  </cellStyleXfs>
  <cellXfs count="91">
    <xf numFmtId="0" fontId="0" fillId="0" borderId="0" xfId="0">
      <alignment wrapText="1"/>
    </xf>
    <xf numFmtId="0" fontId="6" fillId="0" borderId="0" xfId="0" applyFont="1">
      <alignment wrapText="1"/>
    </xf>
    <xf numFmtId="0" fontId="7" fillId="0" borderId="0" xfId="0" applyFont="1" applyAlignment="1" applyProtection="1">
      <protection hidden="1"/>
    </xf>
    <xf numFmtId="0" fontId="8" fillId="0" borderId="0" xfId="0" applyFont="1" applyProtection="1">
      <alignment wrapText="1"/>
      <protection hidden="1"/>
    </xf>
    <xf numFmtId="0" fontId="10" fillId="0" borderId="0" xfId="2" applyFont="1" applyAlignment="1" applyProtection="1">
      <alignment horizontal="right"/>
      <protection hidden="1"/>
    </xf>
    <xf numFmtId="0" fontId="8" fillId="0" borderId="0" xfId="0" applyFont="1" applyAlignment="1" applyProtection="1">
      <alignment horizontal="justify" vertical="center" wrapText="1"/>
      <protection hidden="1"/>
    </xf>
    <xf numFmtId="0" fontId="7" fillId="0" borderId="0" xfId="0" applyFont="1" applyProtection="1">
      <alignment wrapText="1"/>
      <protection hidden="1"/>
    </xf>
    <xf numFmtId="0" fontId="9" fillId="0" borderId="0" xfId="0" applyFont="1" applyAlignment="1" applyProtection="1">
      <alignment horizontal="justify" vertical="center" wrapText="1"/>
      <protection hidden="1"/>
    </xf>
    <xf numFmtId="0" fontId="7" fillId="0" borderId="0" xfId="0" applyFont="1" applyAlignment="1" applyProtection="1">
      <alignment horizontal="justify" vertical="center" wrapText="1"/>
      <protection hidden="1"/>
    </xf>
    <xf numFmtId="0" fontId="8" fillId="0" borderId="0" xfId="0" applyFont="1" applyAlignment="1" applyProtection="1">
      <alignment horizontal="justify" wrapText="1"/>
      <protection hidden="1"/>
    </xf>
    <xf numFmtId="0" fontId="10" fillId="0" borderId="0" xfId="2" applyFont="1" applyAlignment="1" applyProtection="1">
      <alignment horizontal="right" wrapText="1"/>
      <protection hidden="1"/>
    </xf>
    <xf numFmtId="0" fontId="11" fillId="0" borderId="0" xfId="0" applyFont="1" applyProtection="1">
      <alignment wrapText="1"/>
      <protection hidden="1"/>
    </xf>
    <xf numFmtId="0" fontId="9" fillId="0" borderId="0" xfId="0" applyFont="1" applyAlignment="1" applyProtection="1">
      <alignment horizontal="left" wrapText="1"/>
      <protection hidden="1"/>
    </xf>
    <xf numFmtId="0" fontId="8" fillId="0" borderId="0" xfId="0" applyFont="1" applyAlignment="1" applyProtection="1">
      <alignment horizontal="left" wrapText="1"/>
      <protection hidden="1"/>
    </xf>
    <xf numFmtId="0" fontId="12" fillId="0" borderId="0" xfId="2" applyFont="1" applyAlignment="1" applyProtection="1">
      <alignment horizontal="left" vertical="center" wrapText="1"/>
    </xf>
    <xf numFmtId="0" fontId="11" fillId="0" borderId="0" xfId="0" applyFont="1" applyAlignment="1" applyProtection="1">
      <protection hidden="1"/>
    </xf>
    <xf numFmtId="0" fontId="11" fillId="0" borderId="0" xfId="4" applyFont="1" applyAlignment="1" applyProtection="1">
      <alignment horizontal="left"/>
      <protection hidden="1"/>
    </xf>
    <xf numFmtId="0" fontId="11" fillId="0" borderId="0" xfId="0" applyFont="1" applyAlignment="1" applyProtection="1">
      <alignment horizontal="left"/>
      <protection hidden="1"/>
    </xf>
    <xf numFmtId="0" fontId="13" fillId="0" borderId="0" xfId="0" applyFont="1" applyAlignment="1" applyProtection="1">
      <protection hidden="1"/>
    </xf>
    <xf numFmtId="0" fontId="8" fillId="0" borderId="0" xfId="5" applyFont="1" applyProtection="1">
      <protection hidden="1"/>
    </xf>
    <xf numFmtId="164" fontId="8" fillId="0" borderId="0" xfId="1" applyFont="1" applyAlignment="1" applyProtection="1">
      <protection hidden="1"/>
    </xf>
    <xf numFmtId="0" fontId="15" fillId="0" borderId="0" xfId="5" applyFont="1" applyProtection="1">
      <protection hidden="1"/>
    </xf>
    <xf numFmtId="164" fontId="15" fillId="0" borderId="0" xfId="1" applyFont="1" applyAlignment="1" applyProtection="1">
      <protection hidden="1"/>
    </xf>
    <xf numFmtId="167" fontId="15" fillId="0" borderId="0" xfId="1" applyNumberFormat="1" applyFont="1" applyAlignment="1" applyProtection="1">
      <protection hidden="1"/>
    </xf>
    <xf numFmtId="168" fontId="15" fillId="0" borderId="0" xfId="5" applyNumberFormat="1" applyFont="1" applyProtection="1">
      <protection hidden="1"/>
    </xf>
    <xf numFmtId="0" fontId="16" fillId="0" borderId="0" xfId="0" applyFont="1" applyAlignment="1" applyProtection="1">
      <protection hidden="1"/>
    </xf>
    <xf numFmtId="10" fontId="8" fillId="0" borderId="0" xfId="6" applyNumberFormat="1" applyFont="1" applyAlignment="1" applyProtection="1">
      <protection hidden="1"/>
    </xf>
    <xf numFmtId="0" fontId="7" fillId="0" borderId="0" xfId="5" applyFont="1" applyAlignment="1" applyProtection="1">
      <alignment horizontal="center" wrapText="1"/>
      <protection hidden="1"/>
    </xf>
    <xf numFmtId="0" fontId="7" fillId="3" borderId="1" xfId="3" applyFont="1" applyFill="1" applyBorder="1" applyAlignment="1" applyProtection="1">
      <alignment horizontal="center" wrapText="1"/>
      <protection hidden="1"/>
    </xf>
    <xf numFmtId="164" fontId="7" fillId="3" borderId="1" xfId="1" applyFont="1" applyFill="1" applyBorder="1" applyAlignment="1" applyProtection="1">
      <alignment horizontal="center" wrapText="1"/>
      <protection hidden="1"/>
    </xf>
    <xf numFmtId="10" fontId="7" fillId="3" borderId="1" xfId="6" applyNumberFormat="1" applyFont="1" applyFill="1" applyBorder="1" applyAlignment="1" applyProtection="1">
      <alignment horizontal="center" wrapText="1"/>
      <protection hidden="1"/>
    </xf>
    <xf numFmtId="165" fontId="7" fillId="0" borderId="0" xfId="6" applyNumberFormat="1" applyFont="1" applyAlignment="1" applyProtection="1">
      <alignment horizontal="center" wrapText="1"/>
      <protection hidden="1"/>
    </xf>
    <xf numFmtId="164" fontId="17" fillId="0" borderId="0" xfId="1" applyFont="1" applyAlignment="1" applyProtection="1">
      <alignment horizontal="center" wrapText="1"/>
      <protection hidden="1"/>
    </xf>
    <xf numFmtId="167" fontId="17" fillId="0" borderId="0" xfId="1" applyNumberFormat="1" applyFont="1" applyAlignment="1" applyProtection="1">
      <alignment horizontal="center" wrapText="1"/>
      <protection hidden="1"/>
    </xf>
    <xf numFmtId="168" fontId="17" fillId="0" borderId="0" xfId="5" applyNumberFormat="1" applyFont="1" applyAlignment="1" applyProtection="1">
      <alignment horizontal="center" wrapText="1"/>
      <protection hidden="1"/>
    </xf>
    <xf numFmtId="0" fontId="8" fillId="0" borderId="0" xfId="5" applyFont="1" applyAlignment="1" applyProtection="1">
      <alignment horizontal="center"/>
      <protection hidden="1"/>
    </xf>
    <xf numFmtId="164" fontId="15" fillId="0" borderId="0" xfId="5" applyNumberFormat="1" applyFont="1" applyProtection="1">
      <protection hidden="1"/>
    </xf>
    <xf numFmtId="0" fontId="8" fillId="0" borderId="0" xfId="0" applyFont="1" applyAlignment="1" applyProtection="1">
      <protection hidden="1"/>
    </xf>
    <xf numFmtId="0" fontId="15" fillId="0" borderId="0" xfId="0" applyFont="1" applyAlignment="1" applyProtection="1">
      <protection hidden="1"/>
    </xf>
    <xf numFmtId="165" fontId="8" fillId="0" borderId="0" xfId="6" applyNumberFormat="1" applyFont="1" applyAlignment="1" applyProtection="1">
      <protection hidden="1"/>
    </xf>
    <xf numFmtId="0" fontId="7" fillId="3" borderId="1" xfId="0" applyFont="1" applyFill="1" applyBorder="1" applyAlignment="1" applyProtection="1">
      <alignment horizontal="center" wrapText="1"/>
      <protection hidden="1"/>
    </xf>
    <xf numFmtId="165" fontId="7" fillId="3" borderId="1" xfId="6" applyNumberFormat="1" applyFont="1" applyFill="1" applyBorder="1" applyAlignment="1" applyProtection="1">
      <alignment horizontal="center" wrapText="1"/>
      <protection hidden="1"/>
    </xf>
    <xf numFmtId="0" fontId="17" fillId="0" borderId="0" xfId="0" applyFont="1" applyAlignment="1" applyProtection="1">
      <alignment horizontal="center" wrapText="1"/>
      <protection hidden="1"/>
    </xf>
    <xf numFmtId="164" fontId="17" fillId="0" borderId="0" xfId="1" applyFont="1" applyBorder="1" applyAlignment="1" applyProtection="1">
      <alignment horizontal="center" wrapText="1"/>
      <protection hidden="1"/>
    </xf>
    <xf numFmtId="0" fontId="8" fillId="0" borderId="0" xfId="0" applyFont="1" applyAlignment="1" applyProtection="1">
      <alignment horizontal="center"/>
      <protection hidden="1"/>
    </xf>
    <xf numFmtId="164" fontId="15" fillId="0" borderId="0" xfId="0" applyNumberFormat="1" applyFont="1" applyAlignment="1" applyProtection="1">
      <protection hidden="1"/>
    </xf>
    <xf numFmtId="0" fontId="7" fillId="0" borderId="0" xfId="4" applyFont="1" applyAlignment="1" applyProtection="1">
      <alignment horizontal="left"/>
      <protection hidden="1"/>
    </xf>
    <xf numFmtId="0" fontId="8" fillId="0" borderId="0" xfId="4" applyFont="1" applyProtection="1">
      <protection hidden="1"/>
    </xf>
    <xf numFmtId="0" fontId="7" fillId="0" borderId="0" xfId="4" applyFont="1" applyProtection="1">
      <protection hidden="1"/>
    </xf>
    <xf numFmtId="166" fontId="8" fillId="0" borderId="0" xfId="1" applyNumberFormat="1" applyFont="1" applyBorder="1" applyAlignment="1" applyProtection="1">
      <protection hidden="1"/>
    </xf>
    <xf numFmtId="166" fontId="8" fillId="2" borderId="1" xfId="1" applyNumberFormat="1" applyFont="1" applyFill="1" applyBorder="1" applyAlignment="1" applyProtection="1">
      <protection locked="0"/>
    </xf>
    <xf numFmtId="0" fontId="18" fillId="0" borderId="0" xfId="4" applyFont="1" applyProtection="1">
      <protection hidden="1"/>
    </xf>
    <xf numFmtId="166" fontId="7" fillId="3" borderId="1" xfId="1" applyNumberFormat="1" applyFont="1" applyFill="1" applyBorder="1" applyAlignment="1" applyProtection="1">
      <protection hidden="1"/>
    </xf>
    <xf numFmtId="0" fontId="14" fillId="0" borderId="0" xfId="4" applyFont="1" applyProtection="1">
      <protection hidden="1"/>
    </xf>
    <xf numFmtId="0" fontId="19" fillId="0" borderId="0" xfId="4" applyFont="1" applyProtection="1">
      <protection hidden="1"/>
    </xf>
    <xf numFmtId="166" fontId="7" fillId="0" borderId="0" xfId="1" applyNumberFormat="1" applyFont="1" applyBorder="1" applyAlignment="1" applyProtection="1">
      <protection hidden="1"/>
    </xf>
    <xf numFmtId="0" fontId="8" fillId="0" borderId="2" xfId="4" applyFont="1" applyBorder="1" applyProtection="1">
      <protection hidden="1"/>
    </xf>
    <xf numFmtId="166" fontId="8" fillId="0" borderId="2" xfId="1" applyNumberFormat="1" applyFont="1" applyBorder="1" applyAlignment="1" applyProtection="1">
      <protection hidden="1"/>
    </xf>
    <xf numFmtId="0" fontId="19" fillId="0" borderId="2" xfId="4" applyFont="1" applyBorder="1" applyProtection="1">
      <protection hidden="1"/>
    </xf>
    <xf numFmtId="166" fontId="8" fillId="0" borderId="0" xfId="1" applyNumberFormat="1" applyFont="1" applyAlignment="1" applyProtection="1">
      <protection hidden="1"/>
    </xf>
    <xf numFmtId="166" fontId="7" fillId="3" borderId="3" xfId="1" applyNumberFormat="1" applyFont="1" applyFill="1" applyBorder="1" applyAlignment="1" applyProtection="1">
      <protection hidden="1"/>
    </xf>
    <xf numFmtId="0" fontId="20" fillId="0" borderId="0" xfId="4" applyFont="1" applyProtection="1">
      <protection hidden="1"/>
    </xf>
    <xf numFmtId="166" fontId="20" fillId="0" borderId="0" xfId="1" applyNumberFormat="1" applyFont="1" applyBorder="1" applyAlignment="1" applyProtection="1">
      <protection hidden="1"/>
    </xf>
    <xf numFmtId="0" fontId="7" fillId="0" borderId="0" xfId="4" applyFont="1" applyAlignment="1" applyProtection="1">
      <alignment wrapText="1"/>
      <protection hidden="1"/>
    </xf>
    <xf numFmtId="0" fontId="9" fillId="0" borderId="0" xfId="4" applyFont="1" applyProtection="1">
      <protection hidden="1"/>
    </xf>
    <xf numFmtId="164" fontId="8" fillId="2" borderId="1" xfId="1" applyFont="1" applyFill="1" applyBorder="1" applyAlignment="1" applyProtection="1">
      <protection locked="0"/>
    </xf>
    <xf numFmtId="10" fontId="8" fillId="2" borderId="1" xfId="0" applyNumberFormat="1" applyFont="1" applyFill="1" applyBorder="1" applyAlignment="1" applyProtection="1">
      <protection locked="0"/>
    </xf>
    <xf numFmtId="10" fontId="8" fillId="2" borderId="1" xfId="1" applyNumberFormat="1" applyFont="1" applyFill="1" applyBorder="1" applyAlignment="1" applyProtection="1">
      <protection locked="0"/>
    </xf>
    <xf numFmtId="165" fontId="8" fillId="2" borderId="1" xfId="1" applyNumberFormat="1" applyFont="1" applyFill="1" applyBorder="1" applyAlignment="1" applyProtection="1">
      <protection locked="0"/>
    </xf>
    <xf numFmtId="164" fontId="8" fillId="0" borderId="0" xfId="0" applyNumberFormat="1" applyFont="1" applyAlignment="1" applyProtection="1">
      <protection hidden="1"/>
    </xf>
    <xf numFmtId="166" fontId="8" fillId="0" borderId="0" xfId="0" applyNumberFormat="1" applyFont="1" applyAlignment="1" applyProtection="1">
      <protection hidden="1"/>
    </xf>
    <xf numFmtId="0" fontId="16" fillId="4" borderId="1" xfId="0" applyFont="1" applyFill="1" applyBorder="1" applyAlignment="1" applyProtection="1">
      <protection hidden="1"/>
    </xf>
    <xf numFmtId="0" fontId="21" fillId="0" borderId="0" xfId="4" applyFont="1" applyAlignment="1" applyProtection="1">
      <alignment horizontal="left"/>
      <protection hidden="1"/>
    </xf>
    <xf numFmtId="0" fontId="22" fillId="0" borderId="0" xfId="1" applyNumberFormat="1" applyFont="1" applyFill="1" applyBorder="1" applyAlignment="1" applyProtection="1">
      <alignment horizontal="center"/>
      <protection hidden="1"/>
    </xf>
    <xf numFmtId="0" fontId="23" fillId="0" borderId="0" xfId="1" applyNumberFormat="1" applyFont="1" applyFill="1" applyBorder="1" applyAlignment="1" applyProtection="1">
      <alignment horizontal="center"/>
      <protection hidden="1"/>
    </xf>
    <xf numFmtId="0" fontId="24" fillId="0" borderId="0" xfId="1" applyNumberFormat="1" applyFont="1" applyFill="1" applyBorder="1" applyAlignment="1" applyProtection="1">
      <alignment horizontal="center"/>
      <protection hidden="1"/>
    </xf>
    <xf numFmtId="0" fontId="25" fillId="0" borderId="0" xfId="1" applyNumberFormat="1" applyFont="1" applyFill="1" applyBorder="1" applyAlignment="1" applyProtection="1">
      <alignment horizontal="center"/>
      <protection hidden="1"/>
    </xf>
    <xf numFmtId="0" fontId="22" fillId="0" borderId="2" xfId="1" applyNumberFormat="1" applyFont="1" applyFill="1" applyBorder="1" applyAlignment="1" applyProtection="1">
      <alignment horizontal="center"/>
      <protection hidden="1"/>
    </xf>
    <xf numFmtId="0" fontId="21" fillId="0" borderId="0" xfId="4" applyFont="1" applyAlignment="1" applyProtection="1">
      <alignment wrapText="1"/>
      <protection hidden="1"/>
    </xf>
    <xf numFmtId="0" fontId="22" fillId="0" borderId="0" xfId="1" applyNumberFormat="1" applyFont="1" applyFill="1" applyAlignment="1" applyProtection="1">
      <alignment horizontal="center"/>
      <protection hidden="1"/>
    </xf>
    <xf numFmtId="0" fontId="22" fillId="0" borderId="0" xfId="1" applyNumberFormat="1" applyFont="1" applyBorder="1" applyAlignment="1" applyProtection="1">
      <alignment horizontal="center"/>
      <protection hidden="1"/>
    </xf>
    <xf numFmtId="0" fontId="23" fillId="0" borderId="0" xfId="1" applyNumberFormat="1" applyFont="1" applyBorder="1" applyAlignment="1" applyProtection="1">
      <alignment horizontal="center"/>
      <protection hidden="1"/>
    </xf>
    <xf numFmtId="0" fontId="22" fillId="0" borderId="2" xfId="1" applyNumberFormat="1" applyFont="1" applyBorder="1" applyAlignment="1" applyProtection="1">
      <alignment horizontal="center"/>
      <protection hidden="1"/>
    </xf>
    <xf numFmtId="0" fontId="22" fillId="0" borderId="0" xfId="1" applyNumberFormat="1" applyFont="1" applyAlignment="1" applyProtection="1">
      <alignment horizontal="center"/>
      <protection hidden="1"/>
    </xf>
    <xf numFmtId="0" fontId="25" fillId="0" borderId="0" xfId="1" applyNumberFormat="1" applyFont="1" applyBorder="1" applyAlignment="1" applyProtection="1">
      <alignment horizontal="center"/>
      <protection hidden="1"/>
    </xf>
    <xf numFmtId="0" fontId="26" fillId="0" borderId="0" xfId="0" applyFont="1" applyAlignment="1" applyProtection="1">
      <alignment horizontal="right"/>
      <protection hidden="1"/>
    </xf>
    <xf numFmtId="0" fontId="27" fillId="0" borderId="0" xfId="4" applyFont="1" applyProtection="1">
      <protection hidden="1"/>
    </xf>
    <xf numFmtId="0" fontId="21" fillId="0" borderId="0" xfId="4" applyFont="1" applyProtection="1">
      <protection hidden="1"/>
    </xf>
    <xf numFmtId="0" fontId="27" fillId="0" borderId="2" xfId="4" applyFont="1" applyBorder="1" applyProtection="1">
      <protection hidden="1"/>
    </xf>
    <xf numFmtId="0" fontId="28" fillId="0" borderId="0" xfId="4" applyFont="1" applyProtection="1">
      <protection hidden="1"/>
    </xf>
    <xf numFmtId="0" fontId="0" fillId="0" borderId="0" xfId="0" applyAlignment="1" applyProtection="1">
      <alignment horizontal="justify" vertical="center" wrapText="1"/>
      <protection hidden="1"/>
    </xf>
  </cellXfs>
  <cellStyles count="7">
    <cellStyle name="Comma" xfId="1" builtinId="3"/>
    <cellStyle name="Hyperlink" xfId="2" builtinId="8"/>
    <cellStyle name="Normal" xfId="0" builtinId="0" customBuiltin="1"/>
    <cellStyle name="Normal_Amortisation" xfId="3" xr:uid="{00000000-0005-0000-0000-000003000000}"/>
    <cellStyle name="Normal_Max Bond Amount" xfId="4" xr:uid="{00000000-0005-0000-0000-000004000000}"/>
    <cellStyle name="Normal_Web Site Outlay" xfId="5" xr:uid="{00000000-0005-0000-0000-000005000000}"/>
    <cellStyle name="Percent" xfId="6" builtinId="5"/>
  </cellStyles>
  <dxfs count="0"/>
  <tableStyles count="0" defaultTableStyle="TableStyleMedium9" defaultPivotStyle="PivotStyleLight16"/>
  <colors>
    <mruColors>
      <color rgb="FF292929"/>
      <color rgb="FF003200"/>
      <color rgb="FF24960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lt1">
                    <a:lumMod val="85000"/>
                  </a:schemeClr>
                </a:solidFill>
                <a:latin typeface="+mj-lt"/>
                <a:ea typeface="+mj-ea"/>
                <a:cs typeface="+mj-cs"/>
              </a:defRPr>
            </a:pPr>
            <a:r>
              <a:rPr lang="en-US" sz="1600"/>
              <a:t>Increased Instalment - Interest Saving</a:t>
            </a:r>
          </a:p>
        </c:rich>
      </c:tx>
      <c:layout>
        <c:manualLayout>
          <c:xMode val="edge"/>
          <c:yMode val="edge"/>
          <c:x val="0.29076923076923078"/>
          <c:y val="3.5842419363307024E-2"/>
        </c:manualLayout>
      </c:layout>
      <c:overlay val="0"/>
      <c:spPr>
        <a:noFill/>
        <a:ln>
          <a:noFill/>
        </a:ln>
        <a:effectLst/>
      </c:spPr>
      <c:txPr>
        <a:bodyPr rot="0" spcFirstLastPara="1" vertOverflow="ellipsis" vert="horz" wrap="square" anchor="ctr" anchorCtr="1"/>
        <a:lstStyle/>
        <a:p>
          <a:pPr>
            <a:defRPr sz="1600" b="1" i="0" u="none" strike="noStrike" kern="1200" baseline="0">
              <a:solidFill>
                <a:schemeClr val="lt1">
                  <a:lumMod val="85000"/>
                </a:schemeClr>
              </a:solidFill>
              <a:latin typeface="+mj-lt"/>
              <a:ea typeface="+mj-ea"/>
              <a:cs typeface="+mj-cs"/>
            </a:defRPr>
          </a:pPr>
          <a:endParaRPr lang="en-US"/>
        </a:p>
      </c:txPr>
    </c:title>
    <c:autoTitleDeleted val="0"/>
    <c:plotArea>
      <c:layout>
        <c:manualLayout>
          <c:layoutTarget val="inner"/>
          <c:xMode val="edge"/>
          <c:yMode val="edge"/>
          <c:x val="0.11076923076923083"/>
          <c:y val="0.1648751290712123"/>
          <c:w val="0.85538461538461563"/>
          <c:h val="0.71326414532980953"/>
        </c:manualLayout>
      </c:layout>
      <c:areaChart>
        <c:grouping val="standard"/>
        <c:varyColors val="0"/>
        <c:ser>
          <c:idx val="1"/>
          <c:order val="0"/>
          <c:tx>
            <c:strRef>
              <c:f>AnnualAmort!$I$3</c:f>
              <c:strCache>
                <c:ptCount val="1"/>
                <c:pt idx="0">
                  <c:v>Amortization</c:v>
                </c:pt>
              </c:strCache>
            </c:strRef>
          </c:tx>
          <c:spPr>
            <a:gradFill>
              <a:gsLst>
                <a:gs pos="100000">
                  <a:schemeClr val="accent2"/>
                </a:gs>
                <a:gs pos="0">
                  <a:schemeClr val="accent2">
                    <a:lumMod val="75000"/>
                  </a:schemeClr>
                </a:gs>
              </a:gsLst>
              <a:lin ang="0" scaled="1"/>
            </a:gradFill>
            <a:ln>
              <a:noFill/>
            </a:ln>
            <a:effectLst>
              <a:innerShdw dist="12700" dir="16200000">
                <a:schemeClr val="lt1">
                  <a:alpha val="75000"/>
                </a:schemeClr>
              </a:innerShdw>
            </a:effectLst>
          </c:spPr>
          <c:val>
            <c:numRef>
              <c:f>AnnualAmort!$I$4:$I$33</c:f>
              <c:numCache>
                <c:formatCode>_ * #,##0.00_ ;_ * \-#,##0.00_ ;_ * "-"??_ ;_ @_ </c:formatCode>
                <c:ptCount val="30"/>
                <c:pt idx="0">
                  <c:v>273198.227746399</c:v>
                </c:pt>
                <c:pt idx="1">
                  <c:v>542177.5446082165</c:v>
                </c:pt>
                <c:pt idx="2">
                  <c:v>806449.74312787736</c:v>
                </c:pt>
                <c:pt idx="3">
                  <c:v>1065470.1210489941</c:v>
                </c:pt>
                <c:pt idx="4">
                  <c:v>1318630.9438039972</c:v>
                </c:pt>
                <c:pt idx="5">
                  <c:v>1565254.1504884425</c:v>
                </c:pt>
                <c:pt idx="6">
                  <c:v>1804583.2157791536</c:v>
                </c:pt>
                <c:pt idx="7">
                  <c:v>2035774.0701230045</c:v>
                </c:pt>
                <c:pt idx="8">
                  <c:v>2257884.969220513</c:v>
                </c:pt>
                <c:pt idx="9">
                  <c:v>2469865.1912178681</c:v>
                </c:pt>
                <c:pt idx="10">
                  <c:v>2670542.4259511707</c:v>
                </c:pt>
                <c:pt idx="11">
                  <c:v>2858608.7048886949</c:v>
                </c:pt>
                <c:pt idx="12">
                  <c:v>3032604.7029024442</c:v>
                </c:pt>
                <c:pt idx="13">
                  <c:v>3190902.2234589793</c:v>
                </c:pt>
                <c:pt idx="14">
                  <c:v>3331684.6570169153</c:v>
                </c:pt>
                <c:pt idx="15">
                  <c:v>3452925.1780929156</c:v>
                </c:pt>
                <c:pt idx="16">
                  <c:v>3552362.4193175421</c:v>
                </c:pt>
                <c:pt idx="17">
                  <c:v>3627473.3305211556</c:v>
                </c:pt>
                <c:pt idx="18">
                  <c:v>3675442.8971048235</c:v>
                </c:pt>
                <c:pt idx="19">
                  <c:v>3693130.3542563529</c:v>
                </c:pt>
                <c:pt idx="20">
                  <c:v>3693130.3542563529</c:v>
                </c:pt>
                <c:pt idx="21">
                  <c:v>3693130.3542563529</c:v>
                </c:pt>
                <c:pt idx="22">
                  <c:v>3693130.3542563529</c:v>
                </c:pt>
                <c:pt idx="23">
                  <c:v>3693130.3542563529</c:v>
                </c:pt>
                <c:pt idx="24">
                  <c:v>3693130.3542563529</c:v>
                </c:pt>
                <c:pt idx="25">
                  <c:v>3693130.3542563529</c:v>
                </c:pt>
                <c:pt idx="26">
                  <c:v>3693130.3542563529</c:v>
                </c:pt>
                <c:pt idx="27">
                  <c:v>3693130.3542563529</c:v>
                </c:pt>
                <c:pt idx="28">
                  <c:v>3693130.3542563529</c:v>
                </c:pt>
                <c:pt idx="29">
                  <c:v>3693130.3542563529</c:v>
                </c:pt>
              </c:numCache>
            </c:numRef>
          </c:val>
          <c:extLst>
            <c:ext xmlns:c16="http://schemas.microsoft.com/office/drawing/2014/chart" uri="{C3380CC4-5D6E-409C-BE32-E72D297353CC}">
              <c16:uniqueId val="{00000000-7C31-4389-8196-69FCEE30D233}"/>
            </c:ext>
          </c:extLst>
        </c:ser>
        <c:ser>
          <c:idx val="2"/>
          <c:order val="1"/>
          <c:tx>
            <c:strRef>
              <c:f>AnnualAmort!$J$3</c:f>
              <c:strCache>
                <c:ptCount val="1"/>
                <c:pt idx="0">
                  <c:v> Increased Instalment </c:v>
                </c:pt>
              </c:strCache>
            </c:strRef>
          </c:tx>
          <c:spPr>
            <a:gradFill>
              <a:gsLst>
                <a:gs pos="100000">
                  <a:schemeClr val="accent3"/>
                </a:gs>
                <a:gs pos="0">
                  <a:schemeClr val="accent3">
                    <a:lumMod val="75000"/>
                  </a:schemeClr>
                </a:gs>
              </a:gsLst>
              <a:lin ang="0" scaled="1"/>
            </a:gradFill>
            <a:ln>
              <a:noFill/>
            </a:ln>
            <a:effectLst>
              <a:innerShdw dist="12700" dir="16200000">
                <a:schemeClr val="lt1">
                  <a:alpha val="75000"/>
                </a:schemeClr>
              </a:innerShdw>
            </a:effectLst>
          </c:spPr>
          <c:val>
            <c:numRef>
              <c:f>AnnualAmort!$J$4:$J$33</c:f>
              <c:numCache>
                <c:formatCode>_ * #,##0.00_ ;_ * \-#,##0.00_ ;_ * "-"??_ ;_ @_ </c:formatCode>
                <c:ptCount val="30"/>
                <c:pt idx="0">
                  <c:v>271950.4816674433</c:v>
                </c:pt>
                <c:pt idx="1">
                  <c:v>536760.41265749605</c:v>
                </c:pt>
                <c:pt idx="2">
                  <c:v>793603.49675597763</c:v>
                </c:pt>
                <c:pt idx="3">
                  <c:v>1041557.81971245</c:v>
                </c:pt>
                <c:pt idx="4">
                  <c:v>1279594.7844323427</c:v>
                </c:pt>
                <c:pt idx="5">
                  <c:v>1506566.7657623875</c:v>
                </c:pt>
                <c:pt idx="6">
                  <c:v>1721193.3367021929</c:v>
                </c:pt>
                <c:pt idx="7">
                  <c:v>1922045.9007290464</c:v>
                </c:pt>
                <c:pt idx="8">
                  <c:v>2107530.5457932372</c:v>
                </c:pt>
                <c:pt idx="9">
                  <c:v>2275868.9141976633</c:v>
                </c:pt>
                <c:pt idx="10">
                  <c:v>2425076.8587621767</c:v>
                </c:pt>
                <c:pt idx="11">
                  <c:v>2552940.6291041006</c:v>
                </c:pt>
                <c:pt idx="12">
                  <c:v>2656990.3022228484</c:v>
                </c:pt>
                <c:pt idx="13">
                  <c:v>2734470.1385027166</c:v>
                </c:pt>
                <c:pt idx="14">
                  <c:v>2782305.5073468108</c:v>
                </c:pt>
                <c:pt idx="15">
                  <c:v>2797189.8248473643</c:v>
                </c:pt>
                <c:pt idx="16">
                  <c:v>2797189.8248473643</c:v>
                </c:pt>
                <c:pt idx="17">
                  <c:v>2797189.8248473643</c:v>
                </c:pt>
                <c:pt idx="18">
                  <c:v>2797189.8248473643</c:v>
                </c:pt>
                <c:pt idx="19">
                  <c:v>2797189.8248473643</c:v>
                </c:pt>
                <c:pt idx="20">
                  <c:v>2797189.8248473643</c:v>
                </c:pt>
                <c:pt idx="21">
                  <c:v>2797189.8248473643</c:v>
                </c:pt>
                <c:pt idx="22">
                  <c:v>2797189.8248473643</c:v>
                </c:pt>
                <c:pt idx="23">
                  <c:v>2797189.8248473643</c:v>
                </c:pt>
                <c:pt idx="24">
                  <c:v>2797189.8248473643</c:v>
                </c:pt>
                <c:pt idx="25">
                  <c:v>2797189.8248473643</c:v>
                </c:pt>
                <c:pt idx="26">
                  <c:v>2797189.8248473643</c:v>
                </c:pt>
                <c:pt idx="27">
                  <c:v>2797189.8248473643</c:v>
                </c:pt>
                <c:pt idx="28">
                  <c:v>2797189.8248473643</c:v>
                </c:pt>
                <c:pt idx="29">
                  <c:v>2797189.8248473643</c:v>
                </c:pt>
              </c:numCache>
            </c:numRef>
          </c:val>
          <c:extLst>
            <c:ext xmlns:c16="http://schemas.microsoft.com/office/drawing/2014/chart" uri="{C3380CC4-5D6E-409C-BE32-E72D297353CC}">
              <c16:uniqueId val="{00000001-7C31-4389-8196-69FCEE30D233}"/>
            </c:ext>
          </c:extLst>
        </c:ser>
        <c:dLbls>
          <c:showLegendKey val="0"/>
          <c:showVal val="0"/>
          <c:showCatName val="0"/>
          <c:showSerName val="0"/>
          <c:showPercent val="0"/>
          <c:showBubbleSize val="0"/>
        </c:dLbls>
        <c:dropLines>
          <c:spPr>
            <a:ln w="9525" cap="flat" cmpd="sng" algn="ctr">
              <a:solidFill>
                <a:schemeClr val="lt1">
                  <a:alpha val="40000"/>
                </a:schemeClr>
              </a:solidFill>
              <a:round/>
            </a:ln>
            <a:effectLst/>
          </c:spPr>
        </c:dropLines>
        <c:axId val="606381848"/>
        <c:axId val="606382632"/>
      </c:areaChart>
      <c:catAx>
        <c:axId val="606381848"/>
        <c:scaling>
          <c:orientation val="minMax"/>
        </c:scaling>
        <c:delete val="0"/>
        <c:axPos val="b"/>
        <c:title>
          <c:tx>
            <c:rich>
              <a:bodyPr rot="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r>
                  <a:rPr lang="en-US"/>
                  <a:t>Years</a:t>
                </a:r>
              </a:p>
            </c:rich>
          </c:tx>
          <c:layout>
            <c:manualLayout>
              <c:xMode val="edge"/>
              <c:yMode val="edge"/>
              <c:x val="2.7692307692307717E-2"/>
              <c:y val="0.90681320989166725"/>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n-US"/>
            </a:p>
          </c:txPr>
        </c:title>
        <c:numFmt formatCode="General" sourceLinked="1"/>
        <c:majorTickMark val="none"/>
        <c:minorTickMark val="none"/>
        <c:tickLblPos val="nextTo"/>
        <c:spPr>
          <a:noFill/>
          <a:ln w="9575" cap="flat" cmpd="sng" algn="ctr">
            <a:solidFill>
              <a:schemeClr val="lt1">
                <a:lumMod val="75000"/>
              </a:schemeClr>
            </a:solidFill>
            <a:round/>
            <a:headEnd type="none" w="sm" len="sm"/>
            <a:tailEnd type="none" w="sm" len="sm"/>
          </a:ln>
          <a:effectLst/>
        </c:spPr>
        <c:txPr>
          <a:bodyPr rot="0" spcFirstLastPara="1" vertOverflow="ellipsis" wrap="square" anchor="ctr" anchorCtr="1"/>
          <a:lstStyle/>
          <a:p>
            <a:pPr>
              <a:defRPr sz="900" b="1" i="0" u="none" strike="noStrike" kern="1200" cap="all" baseline="0">
                <a:solidFill>
                  <a:schemeClr val="lt1">
                    <a:lumMod val="85000"/>
                  </a:schemeClr>
                </a:solidFill>
                <a:latin typeface="+mn-lt"/>
                <a:ea typeface="+mn-ea"/>
                <a:cs typeface="+mn-cs"/>
              </a:defRPr>
            </a:pPr>
            <a:endParaRPr lang="en-US"/>
          </a:p>
        </c:txPr>
        <c:crossAx val="606382632"/>
        <c:crosses val="autoZero"/>
        <c:auto val="1"/>
        <c:lblAlgn val="ctr"/>
        <c:lblOffset val="100"/>
        <c:tickLblSkip val="3"/>
        <c:tickMarkSkip val="1"/>
        <c:noMultiLvlLbl val="0"/>
      </c:catAx>
      <c:valAx>
        <c:axId val="606382632"/>
        <c:scaling>
          <c:orientation val="minMax"/>
        </c:scaling>
        <c:delete val="0"/>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prstDash val="sysDot"/>
              <a:round/>
            </a:ln>
            <a:effectLst/>
          </c:spPr>
        </c:majorGridlines>
        <c:numFmt formatCode="#,##0" sourceLinked="0"/>
        <c:majorTickMark val="out"/>
        <c:minorTickMark val="none"/>
        <c:tickLblPos val="nextTo"/>
        <c:spPr>
          <a:noFill/>
          <a:ln>
            <a:noFill/>
          </a:ln>
          <a:effectLst/>
        </c:spPr>
        <c:txPr>
          <a:bodyPr rot="0" spcFirstLastPara="1" vertOverflow="ellipsis"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606381848"/>
        <c:crosses val="autoZero"/>
        <c:crossBetween val="midCat"/>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n-US"/>
        </a:p>
      </c:txPr>
    </c:legend>
    <c:plotVisOnly val="1"/>
    <c:dispBlanksAs val="zero"/>
    <c:showDLblsOverMax val="0"/>
  </c:chart>
  <c:spPr>
    <a:solidFill>
      <a:schemeClr val="dk1">
        <a:lumMod val="75000"/>
        <a:lumOff val="25000"/>
      </a:schemeClr>
    </a:solidFill>
    <a:ln w="9525" cap="flat" cmpd="sng" algn="ctr">
      <a:solidFill>
        <a:schemeClr val="lt1">
          <a:lumMod val="75000"/>
        </a:schemeClr>
      </a:solidFill>
      <a:round/>
    </a:ln>
    <a:effectLst/>
  </c:spPr>
  <c:txPr>
    <a:bodyPr/>
    <a:lstStyle/>
    <a:p>
      <a:pPr>
        <a:defRPr/>
      </a:pPr>
      <a:endParaRPr lang="en-US"/>
    </a:p>
  </c:txPr>
  <c:printSettings>
    <c:headerFooter alignWithMargins="0"/>
    <c:pageMargins b="1" l="0.75000000000000033" r="0.75000000000000033"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39538461538461606"/>
          <c:y val="1.845021774500142E-2"/>
        </c:manualLayout>
      </c:layout>
      <c:overlay val="0"/>
      <c:spPr>
        <a:noFill/>
        <a:ln>
          <a:noFill/>
        </a:ln>
        <a:effectLst/>
      </c:spPr>
      <c:txPr>
        <a:bodyPr rot="0" spcFirstLastPara="1" vertOverflow="ellipsis" vert="horz" wrap="square" anchor="ctr" anchorCtr="1"/>
        <a:lstStyle/>
        <a:p>
          <a:pPr>
            <a:defRPr sz="1600" b="1" i="0" u="none" strike="noStrike" kern="1200" baseline="0">
              <a:solidFill>
                <a:schemeClr val="lt1">
                  <a:lumMod val="85000"/>
                </a:schemeClr>
              </a:solidFill>
              <a:latin typeface="+mj-lt"/>
              <a:ea typeface="+mj-ea"/>
              <a:cs typeface="+mj-cs"/>
            </a:defRPr>
          </a:pPr>
          <a:endParaRPr lang="en-US"/>
        </a:p>
      </c:txPr>
    </c:title>
    <c:autoTitleDeleted val="0"/>
    <c:plotArea>
      <c:layout>
        <c:manualLayout>
          <c:layoutTarget val="inner"/>
          <c:xMode val="edge"/>
          <c:yMode val="edge"/>
          <c:x val="0.11538461538461539"/>
          <c:y val="0.12915152421500972"/>
          <c:w val="0.85692307692307756"/>
          <c:h val="0.74538879689805715"/>
        </c:manualLayout>
      </c:layout>
      <c:areaChart>
        <c:grouping val="standard"/>
        <c:varyColors val="0"/>
        <c:ser>
          <c:idx val="1"/>
          <c:order val="0"/>
          <c:tx>
            <c:strRef>
              <c:f>AnnualAmort!$K$3</c:f>
              <c:strCache>
                <c:ptCount val="1"/>
                <c:pt idx="0">
                  <c:v>Capital Repayment</c:v>
                </c:pt>
              </c:strCache>
            </c:strRef>
          </c:tx>
          <c:spPr>
            <a:gradFill>
              <a:gsLst>
                <a:gs pos="100000">
                  <a:schemeClr val="accent2"/>
                </a:gs>
                <a:gs pos="0">
                  <a:schemeClr val="accent2">
                    <a:lumMod val="75000"/>
                  </a:schemeClr>
                </a:gs>
              </a:gsLst>
              <a:lin ang="0" scaled="1"/>
            </a:gradFill>
            <a:ln>
              <a:noFill/>
            </a:ln>
            <a:effectLst>
              <a:innerShdw dist="12700" dir="16200000">
                <a:schemeClr val="lt1">
                  <a:alpha val="75000"/>
                </a:schemeClr>
              </a:innerShdw>
            </a:effectLst>
          </c:spPr>
          <c:val>
            <c:numRef>
              <c:f>AnnualAmort!$K$4:$K$33</c:f>
              <c:numCache>
                <c:formatCode>_ * #,##0.00_ ;_ * \-#,##0.00_ ;_ * "-"??_ ;_ @_ </c:formatCode>
                <c:ptCount val="30"/>
                <c:pt idx="0">
                  <c:v>36458.289966418037</c:v>
                </c:pt>
                <c:pt idx="1">
                  <c:v>77135.490817417551</c:v>
                </c:pt>
                <c:pt idx="2">
                  <c:v>122519.81001057365</c:v>
                </c:pt>
                <c:pt idx="3">
                  <c:v>173155.94980227383</c:v>
                </c:pt>
                <c:pt idx="4">
                  <c:v>229651.64476008766</c:v>
                </c:pt>
                <c:pt idx="5">
                  <c:v>292684.9557884594</c:v>
                </c:pt>
                <c:pt idx="6">
                  <c:v>363012.40821056522</c:v>
                </c:pt>
                <c:pt idx="7">
                  <c:v>441478.07157953142</c:v>
                </c:pt>
                <c:pt idx="8">
                  <c:v>529023.69019483984</c:v>
                </c:pt>
                <c:pt idx="9">
                  <c:v>626699.98591030168</c:v>
                </c:pt>
                <c:pt idx="10">
                  <c:v>735679.26888981625</c:v>
                </c:pt>
                <c:pt idx="11">
                  <c:v>857269.50766510901</c:v>
                </c:pt>
                <c:pt idx="12">
                  <c:v>992930.0273641767</c:v>
                </c:pt>
                <c:pt idx="13">
                  <c:v>1144289.0245204584</c:v>
                </c:pt>
                <c:pt idx="14">
                  <c:v>1313163.1086753397</c:v>
                </c:pt>
                <c:pt idx="15">
                  <c:v>1501579.1053121563</c:v>
                </c:pt>
                <c:pt idx="16">
                  <c:v>1711798.3818003465</c:v>
                </c:pt>
                <c:pt idx="17">
                  <c:v>1946343.9883095501</c:v>
                </c:pt>
                <c:pt idx="18">
                  <c:v>2208030.9394386993</c:v>
                </c:pt>
                <c:pt idx="19">
                  <c:v>2500000.0000000037</c:v>
                </c:pt>
                <c:pt idx="20">
                  <c:v>2500000.0000000037</c:v>
                </c:pt>
                <c:pt idx="21">
                  <c:v>2500000.0000000037</c:v>
                </c:pt>
                <c:pt idx="22">
                  <c:v>2500000.0000000037</c:v>
                </c:pt>
                <c:pt idx="23">
                  <c:v>2500000.0000000037</c:v>
                </c:pt>
                <c:pt idx="24">
                  <c:v>2500000.0000000037</c:v>
                </c:pt>
                <c:pt idx="25">
                  <c:v>2500000.0000000037</c:v>
                </c:pt>
                <c:pt idx="26">
                  <c:v>2500000.0000000037</c:v>
                </c:pt>
                <c:pt idx="27">
                  <c:v>2500000.0000000037</c:v>
                </c:pt>
                <c:pt idx="28">
                  <c:v>2500000.0000000037</c:v>
                </c:pt>
                <c:pt idx="29">
                  <c:v>2500000.0000000037</c:v>
                </c:pt>
              </c:numCache>
            </c:numRef>
          </c:val>
          <c:extLst>
            <c:ext xmlns:c16="http://schemas.microsoft.com/office/drawing/2014/chart" uri="{C3380CC4-5D6E-409C-BE32-E72D297353CC}">
              <c16:uniqueId val="{00000000-328F-4A8A-ADFD-82283993685B}"/>
            </c:ext>
          </c:extLst>
        </c:ser>
        <c:dLbls>
          <c:showLegendKey val="0"/>
          <c:showVal val="0"/>
          <c:showCatName val="0"/>
          <c:showSerName val="0"/>
          <c:showPercent val="0"/>
          <c:showBubbleSize val="0"/>
        </c:dLbls>
        <c:dropLines>
          <c:spPr>
            <a:ln w="9525" cap="flat" cmpd="sng" algn="ctr">
              <a:solidFill>
                <a:schemeClr val="lt1">
                  <a:alpha val="40000"/>
                </a:schemeClr>
              </a:solidFill>
              <a:round/>
            </a:ln>
            <a:effectLst/>
          </c:spPr>
        </c:dropLines>
        <c:axId val="606383808"/>
        <c:axId val="600576688"/>
      </c:areaChart>
      <c:catAx>
        <c:axId val="606383808"/>
        <c:scaling>
          <c:orientation val="minMax"/>
        </c:scaling>
        <c:delete val="0"/>
        <c:axPos val="b"/>
        <c:title>
          <c:tx>
            <c:rich>
              <a:bodyPr rot="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r>
                  <a:rPr lang="en-US"/>
                  <a:t>Years</a:t>
                </a:r>
              </a:p>
            </c:rich>
          </c:tx>
          <c:layout>
            <c:manualLayout>
              <c:xMode val="edge"/>
              <c:yMode val="edge"/>
              <c:x val="4.3076923076923103E-2"/>
              <c:y val="0.90406066950506936"/>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n-US"/>
            </a:p>
          </c:txPr>
        </c:title>
        <c:numFmt formatCode="General" sourceLinked="1"/>
        <c:majorTickMark val="none"/>
        <c:minorTickMark val="none"/>
        <c:tickLblPos val="nextTo"/>
        <c:spPr>
          <a:noFill/>
          <a:ln w="9575" cap="flat" cmpd="sng" algn="ctr">
            <a:solidFill>
              <a:schemeClr val="lt1">
                <a:lumMod val="75000"/>
              </a:schemeClr>
            </a:solidFill>
            <a:round/>
            <a:headEnd type="none" w="sm" len="sm"/>
            <a:tailEnd type="none" w="sm" len="sm"/>
          </a:ln>
          <a:effectLst/>
        </c:spPr>
        <c:txPr>
          <a:bodyPr rot="0" spcFirstLastPara="1" vertOverflow="ellipsis" wrap="square" anchor="ctr" anchorCtr="1"/>
          <a:lstStyle/>
          <a:p>
            <a:pPr>
              <a:defRPr sz="900" b="1" i="0" u="none" strike="noStrike" kern="1200" cap="all" baseline="0">
                <a:solidFill>
                  <a:schemeClr val="lt1">
                    <a:lumMod val="85000"/>
                  </a:schemeClr>
                </a:solidFill>
                <a:latin typeface="+mn-lt"/>
                <a:ea typeface="+mn-ea"/>
                <a:cs typeface="+mn-cs"/>
              </a:defRPr>
            </a:pPr>
            <a:endParaRPr lang="en-US"/>
          </a:p>
        </c:txPr>
        <c:crossAx val="600576688"/>
        <c:crosses val="autoZero"/>
        <c:auto val="1"/>
        <c:lblAlgn val="ctr"/>
        <c:lblOffset val="100"/>
        <c:tickLblSkip val="3"/>
        <c:tickMarkSkip val="1"/>
        <c:noMultiLvlLbl val="0"/>
      </c:catAx>
      <c:valAx>
        <c:axId val="600576688"/>
        <c:scaling>
          <c:orientation val="minMax"/>
        </c:scaling>
        <c:delete val="0"/>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prstDash val="sysDot"/>
              <a:round/>
            </a:ln>
            <a:effectLst/>
          </c:spPr>
        </c:majorGridlines>
        <c:numFmt formatCode="#,##0_ ;\-#,##0\ " sourceLinked="0"/>
        <c:majorTickMark val="out"/>
        <c:minorTickMark val="none"/>
        <c:tickLblPos val="nextTo"/>
        <c:spPr>
          <a:noFill/>
          <a:ln>
            <a:noFill/>
          </a:ln>
          <a:effectLst/>
        </c:spPr>
        <c:txPr>
          <a:bodyPr rot="0" spcFirstLastPara="1" vertOverflow="ellipsis"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606383808"/>
        <c:crosses val="autoZero"/>
        <c:crossBetween val="midCat"/>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n-US"/>
        </a:p>
      </c:txPr>
    </c:legend>
    <c:plotVisOnly val="1"/>
    <c:dispBlanksAs val="zero"/>
    <c:showDLblsOverMax val="0"/>
  </c:chart>
  <c:spPr>
    <a:solidFill>
      <a:schemeClr val="dk1">
        <a:lumMod val="75000"/>
        <a:lumOff val="25000"/>
      </a:schemeClr>
    </a:solidFill>
    <a:ln w="9525" cap="flat" cmpd="sng" algn="ctr">
      <a:solidFill>
        <a:schemeClr val="lt1">
          <a:lumMod val="75000"/>
        </a:schemeClr>
      </a:solidFill>
      <a:round/>
    </a:ln>
    <a:effectLst/>
  </c:spPr>
  <c:txPr>
    <a:bodyPr/>
    <a:lstStyle/>
    <a:p>
      <a:pPr>
        <a:defRPr/>
      </a:pPr>
      <a:endParaRPr lang="en-US"/>
    </a:p>
  </c:txPr>
  <c:printSettings>
    <c:headerFooter alignWithMargins="0"/>
    <c:pageMargins b="1" l="0.75000000000000033" r="0.75000000000000033" t="1" header="0.5" footer="0.5"/>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77">
  <cs:axisTitle>
    <cs:lnRef idx="0"/>
    <cs:fillRef idx="0"/>
    <cs:effectRef idx="0"/>
    <cs:fontRef idx="minor">
      <a:schemeClr val="lt1">
        <a:lumMod val="85000"/>
      </a:schemeClr>
    </cs:fontRef>
    <cs:defRPr sz="900" kern="1200"/>
  </cs:axisTitle>
  <cs:categoryAxis>
    <cs:lnRef idx="0"/>
    <cs:fillRef idx="0"/>
    <cs:effectRef idx="0"/>
    <cs:fontRef idx="minor">
      <a:schemeClr val="lt1">
        <a:lumMod val="85000"/>
      </a:schemeClr>
    </cs:fontRef>
    <cs:spPr>
      <a:ln w="9575" cap="flat" cmpd="sng" algn="ctr">
        <a:solidFill>
          <a:schemeClr val="lt1">
            <a:lumMod val="75000"/>
          </a:schemeClr>
        </a:solidFill>
        <a:round/>
        <a:headEnd type="none" w="sm" len="sm"/>
        <a:tailEnd type="none" w="sm" len="sm"/>
      </a:ln>
    </cs:spPr>
    <cs:defRPr sz="900" b="1" kern="1200" cap="all" baseline="0"/>
  </cs:categoryAxis>
  <cs:chartArea>
    <cs:lnRef idx="0"/>
    <cs:fillRef idx="0"/>
    <cs:effectRef idx="0"/>
    <cs:fontRef idx="minor">
      <a:schemeClr val="dk1"/>
    </cs:fontRef>
    <cs:spPr>
      <a:solidFill>
        <a:schemeClr val="dk1">
          <a:lumMod val="75000"/>
          <a:lumOff val="25000"/>
        </a:schemeClr>
      </a:solidFill>
      <a:ln w="9525" cap="flat" cmpd="sng" algn="ctr">
        <a:solidFill>
          <a:schemeClr val="lt1">
            <a:lumMod val="75000"/>
          </a:schemeClr>
        </a:solidFill>
        <a:round/>
      </a:ln>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lt1">
        <a:lumMod val="85000"/>
      </a:schemeClr>
    </cs:fontRef>
    <cs:spPr>
      <a:solidFill>
        <a:schemeClr val="dk1">
          <a:lumMod val="65000"/>
          <a:lumOff val="35000"/>
        </a:schemeClr>
      </a:solidFill>
      <a:ln>
        <a:solidFill>
          <a:schemeClr val="lt1">
            <a:lumMod val="50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gradFill>
        <a:gsLst>
          <a:gs pos="100000">
            <a:schemeClr val="phClr"/>
          </a:gs>
          <a:gs pos="0">
            <a:schemeClr val="phClr">
              <a:lumMod val="75000"/>
            </a:schemeClr>
          </a:gs>
        </a:gsLst>
        <a:lin ang="0" scaled="1"/>
      </a:gradFill>
      <a:effectLst>
        <a:innerShdw dist="12700" dir="16200000">
          <a:schemeClr val="lt1">
            <a:alpha val="75000"/>
          </a:schemeClr>
        </a:innerShdw>
      </a:effectLst>
    </cs:spPr>
  </cs:dataPoint>
  <cs:dataPoint3D>
    <cs:lnRef idx="0"/>
    <cs:fillRef idx="0">
      <cs:styleClr val="auto"/>
    </cs:fillRef>
    <cs:effectRef idx="0"/>
    <cs:fontRef idx="minor">
      <a:schemeClr val="dk1"/>
    </cs:fontRef>
    <cs:spPr>
      <a:gradFill>
        <a:gsLst>
          <a:gs pos="100000">
            <a:schemeClr val="phClr"/>
          </a:gs>
          <a:gs pos="0">
            <a:schemeClr val="phClr">
              <a:lumMod val="75000"/>
            </a:schemeClr>
          </a:gs>
        </a:gsLst>
        <a:lin ang="0" scaled="1"/>
      </a:gradFill>
      <a:effectLst>
        <a:innerShdw dist="12700" dir="16200000">
          <a:schemeClr val="lt1">
            <a:alpha val="75000"/>
          </a:schemeClr>
        </a:innerShdw>
      </a:effectLst>
    </cs:spPr>
  </cs:dataPoint3D>
  <cs:dataPointLine>
    <cs:lnRef idx="0">
      <cs:styleClr val="auto"/>
    </cs:lnRef>
    <cs:fillRef idx="0"/>
    <cs:effectRef idx="0"/>
    <cs:fontRef idx="minor">
      <a:schemeClr val="dk1"/>
    </cs:fontRef>
    <cs:spPr>
      <a:ln w="25400"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lt1">
        <a:lumMod val="50000"/>
      </a:schemeClr>
    </cs:fontRef>
    <cs:spPr>
      <a:ln w="9525">
        <a:solidFill>
          <a:schemeClr val="lt1">
            <a:lumMod val="50000"/>
          </a:schemeClr>
        </a:solidFill>
      </a:ln>
    </cs:spPr>
    <cs:defRPr sz="900" kern="1200"/>
  </cs:dataTable>
  <cs:downBar>
    <cs:lnRef idx="0"/>
    <cs:fillRef idx="0"/>
    <cs:effectRef idx="0"/>
    <cs:fontRef idx="minor">
      <a:schemeClr val="lt1"/>
    </cs:fontRef>
    <cs:spPr>
      <a:solidFill>
        <a:schemeClr val="dk1">
          <a:lumMod val="50000"/>
          <a:lumOff val="50000"/>
        </a:schemeClr>
      </a:solidFill>
      <a:ln w="9525">
        <a:solidFill>
          <a:schemeClr val="dk1">
            <a:lumMod val="75000"/>
          </a:schemeClr>
        </a:solidFill>
        <a:round/>
      </a:ln>
    </cs:spPr>
  </cs:downBar>
  <cs:dropLine>
    <cs:lnRef idx="0"/>
    <cs:fillRef idx="0"/>
    <cs:effectRef idx="0"/>
    <cs:fontRef idx="minor">
      <a:schemeClr val="dk1"/>
    </cs:fontRef>
    <cs:spPr>
      <a:ln w="9525" cap="flat" cmpd="sng" algn="ctr">
        <a:solidFill>
          <a:schemeClr val="lt1">
            <a:alpha val="40000"/>
          </a:schemeClr>
        </a:solidFill>
        <a:round/>
      </a:ln>
    </cs:spPr>
  </cs:dropLine>
  <cs:errorBar>
    <cs:lnRef idx="0"/>
    <cs:fillRef idx="0"/>
    <cs:effectRef idx="0"/>
    <cs:fontRef idx="minor">
      <a:schemeClr val="dk1"/>
    </cs:fontRef>
    <cs:spPr>
      <a:ln w="9525" cap="flat" cmpd="sng" algn="ctr">
        <a:solidFill>
          <a:schemeClr val="lt1">
            <a:alpha val="4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prstDash val="sysDot"/>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65000"/>
                <a:alpha val="36000"/>
              </a:schemeClr>
            </a:gs>
          </a:gsLst>
          <a:lin ang="5400000" scaled="0"/>
        </a:gradFill>
      </a:ln>
    </cs:spPr>
  </cs:gridlineMinor>
  <cs:hiLoLine>
    <cs:lnRef idx="0"/>
    <cs:fillRef idx="0"/>
    <cs:effectRef idx="0"/>
    <cs:fontRef idx="minor">
      <a:schemeClr val="dk1"/>
    </cs:fontRef>
    <cs:spPr>
      <a:ln w="9525">
        <a:solidFill>
          <a:schemeClr val="lt1">
            <a:lumMod val="50000"/>
          </a:schemeClr>
        </a:solidFill>
        <a:round/>
      </a:ln>
    </cs:spPr>
  </cs:hiLoLine>
  <cs:leaderLine>
    <cs:lnRef idx="0"/>
    <cs:fillRef idx="0"/>
    <cs:effectRef idx="0"/>
    <cs:fontRef idx="minor">
      <a:schemeClr val="dk1"/>
    </cs:fontRef>
    <cs:spPr>
      <a:ln w="9525">
        <a:solidFill>
          <a:schemeClr val="lt1">
            <a:lumMod val="50000"/>
          </a:schemeClr>
        </a:solidFill>
        <a:round/>
      </a:ln>
    </cs:spPr>
  </cs:leaderLine>
  <cs:legend>
    <cs:lnRef idx="0"/>
    <cs:fillRef idx="0"/>
    <cs:effectRef idx="0"/>
    <cs:fontRef idx="minor">
      <a:schemeClr val="lt1">
        <a:lumMod val="8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bg1">
        <a:lumMod val="85000"/>
      </a:schemeClr>
    </cs:fontRef>
    <cs:spPr>
      <a:ln w="19050" cap="flat" cmpd="sng" algn="ctr">
        <a:solidFill>
          <a:schemeClr val="bg1">
            <a:lumMod val="85000"/>
          </a:schemeClr>
        </a:solidFill>
        <a:round/>
        <a:headEnd type="none" w="sm" len="sm"/>
        <a:tailEnd type="none" w="sm" len="sm"/>
      </a:ln>
    </cs:spPr>
    <cs:defRPr sz="900" b="1" kern="1200"/>
  </cs:seriesAxis>
  <cs:seriesLine>
    <cs:lnRef idx="0"/>
    <cs:fillRef idx="0"/>
    <cs:effectRef idx="0"/>
    <cs:fontRef idx="minor">
      <a:schemeClr val="dk1"/>
    </cs:fontRef>
    <cs:spPr>
      <a:ln w="9525">
        <a:solidFill>
          <a:schemeClr val="lt1">
            <a:lumMod val="50000"/>
          </a:schemeClr>
        </a:solidFill>
        <a:round/>
      </a:ln>
    </cs:spPr>
  </cs:seriesLine>
  <cs:title>
    <cs:lnRef idx="0"/>
    <cs:fillRef idx="0"/>
    <cs:effectRef idx="0"/>
    <cs:fontRef idx="major">
      <a:schemeClr val="lt1">
        <a:lumMod val="85000"/>
      </a:schemeClr>
    </cs:fontRef>
    <cs:defRPr sz="1800" b="1" kern="1200" baseline="0"/>
  </cs:title>
  <cs:trendline>
    <cs:lnRef idx="0">
      <cs:styleClr val="auto"/>
    </cs:lnRef>
    <cs:fillRef idx="0"/>
    <cs:effectRef idx="0"/>
    <cs:fontRef idx="minor">
      <a:schemeClr val="dk1"/>
    </cs:fontRef>
    <cs:spPr>
      <a:ln w="9525" cap="rnd">
        <a:solidFill>
          <a:schemeClr val="phClr">
            <a:alpha val="50000"/>
          </a:scheme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dk1"/>
    </cs:fontRef>
    <cs:spPr>
      <a:solidFill>
        <a:schemeClr val="lt1">
          <a:lumMod val="85000"/>
        </a:schemeClr>
      </a:solidFill>
      <a:ln w="9525">
        <a:solidFill>
          <a:schemeClr val="dk1">
            <a:lumMod val="50000"/>
          </a:schemeClr>
        </a:solidFill>
        <a:round/>
      </a:ln>
    </cs:spPr>
  </cs:upBar>
  <cs:valueAxis>
    <cs:lnRef idx="0"/>
    <cs:fillRef idx="0"/>
    <cs:effectRef idx="0"/>
    <cs:fontRef idx="minor">
      <a:schemeClr val="lt1">
        <a:lumMod val="75000"/>
      </a:schemeClr>
    </cs:fontRef>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77">
  <cs:axisTitle>
    <cs:lnRef idx="0"/>
    <cs:fillRef idx="0"/>
    <cs:effectRef idx="0"/>
    <cs:fontRef idx="minor">
      <a:schemeClr val="lt1">
        <a:lumMod val="85000"/>
      </a:schemeClr>
    </cs:fontRef>
    <cs:defRPr sz="900" kern="1200"/>
  </cs:axisTitle>
  <cs:categoryAxis>
    <cs:lnRef idx="0"/>
    <cs:fillRef idx="0"/>
    <cs:effectRef idx="0"/>
    <cs:fontRef idx="minor">
      <a:schemeClr val="lt1">
        <a:lumMod val="85000"/>
      </a:schemeClr>
    </cs:fontRef>
    <cs:spPr>
      <a:ln w="9575" cap="flat" cmpd="sng" algn="ctr">
        <a:solidFill>
          <a:schemeClr val="lt1">
            <a:lumMod val="75000"/>
          </a:schemeClr>
        </a:solidFill>
        <a:round/>
        <a:headEnd type="none" w="sm" len="sm"/>
        <a:tailEnd type="none" w="sm" len="sm"/>
      </a:ln>
    </cs:spPr>
    <cs:defRPr sz="900" b="1" kern="1200" cap="all" baseline="0"/>
  </cs:categoryAxis>
  <cs:chartArea>
    <cs:lnRef idx="0"/>
    <cs:fillRef idx="0"/>
    <cs:effectRef idx="0"/>
    <cs:fontRef idx="minor">
      <a:schemeClr val="dk1"/>
    </cs:fontRef>
    <cs:spPr>
      <a:solidFill>
        <a:schemeClr val="dk1">
          <a:lumMod val="75000"/>
          <a:lumOff val="25000"/>
        </a:schemeClr>
      </a:solidFill>
      <a:ln w="9525" cap="flat" cmpd="sng" algn="ctr">
        <a:solidFill>
          <a:schemeClr val="lt1">
            <a:lumMod val="75000"/>
          </a:schemeClr>
        </a:solidFill>
        <a:round/>
      </a:ln>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lt1">
        <a:lumMod val="85000"/>
      </a:schemeClr>
    </cs:fontRef>
    <cs:spPr>
      <a:solidFill>
        <a:schemeClr val="dk1">
          <a:lumMod val="65000"/>
          <a:lumOff val="35000"/>
        </a:schemeClr>
      </a:solidFill>
      <a:ln>
        <a:solidFill>
          <a:schemeClr val="lt1">
            <a:lumMod val="50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gradFill>
        <a:gsLst>
          <a:gs pos="100000">
            <a:schemeClr val="phClr"/>
          </a:gs>
          <a:gs pos="0">
            <a:schemeClr val="phClr">
              <a:lumMod val="75000"/>
            </a:schemeClr>
          </a:gs>
        </a:gsLst>
        <a:lin ang="0" scaled="1"/>
      </a:gradFill>
      <a:effectLst>
        <a:innerShdw dist="12700" dir="16200000">
          <a:schemeClr val="lt1">
            <a:alpha val="75000"/>
          </a:schemeClr>
        </a:innerShdw>
      </a:effectLst>
    </cs:spPr>
  </cs:dataPoint>
  <cs:dataPoint3D>
    <cs:lnRef idx="0"/>
    <cs:fillRef idx="0">
      <cs:styleClr val="auto"/>
    </cs:fillRef>
    <cs:effectRef idx="0"/>
    <cs:fontRef idx="minor">
      <a:schemeClr val="dk1"/>
    </cs:fontRef>
    <cs:spPr>
      <a:gradFill>
        <a:gsLst>
          <a:gs pos="100000">
            <a:schemeClr val="phClr"/>
          </a:gs>
          <a:gs pos="0">
            <a:schemeClr val="phClr">
              <a:lumMod val="75000"/>
            </a:schemeClr>
          </a:gs>
        </a:gsLst>
        <a:lin ang="0" scaled="1"/>
      </a:gradFill>
      <a:effectLst>
        <a:innerShdw dist="12700" dir="16200000">
          <a:schemeClr val="lt1">
            <a:alpha val="75000"/>
          </a:schemeClr>
        </a:innerShdw>
      </a:effectLst>
    </cs:spPr>
  </cs:dataPoint3D>
  <cs:dataPointLine>
    <cs:lnRef idx="0">
      <cs:styleClr val="auto"/>
    </cs:lnRef>
    <cs:fillRef idx="0"/>
    <cs:effectRef idx="0"/>
    <cs:fontRef idx="minor">
      <a:schemeClr val="dk1"/>
    </cs:fontRef>
    <cs:spPr>
      <a:ln w="25400"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lt1">
        <a:lumMod val="50000"/>
      </a:schemeClr>
    </cs:fontRef>
    <cs:spPr>
      <a:ln w="9525">
        <a:solidFill>
          <a:schemeClr val="lt1">
            <a:lumMod val="50000"/>
          </a:schemeClr>
        </a:solidFill>
      </a:ln>
    </cs:spPr>
    <cs:defRPr sz="900" kern="1200"/>
  </cs:dataTable>
  <cs:downBar>
    <cs:lnRef idx="0"/>
    <cs:fillRef idx="0"/>
    <cs:effectRef idx="0"/>
    <cs:fontRef idx="minor">
      <a:schemeClr val="lt1"/>
    </cs:fontRef>
    <cs:spPr>
      <a:solidFill>
        <a:schemeClr val="dk1">
          <a:lumMod val="50000"/>
          <a:lumOff val="50000"/>
        </a:schemeClr>
      </a:solidFill>
      <a:ln w="9525">
        <a:solidFill>
          <a:schemeClr val="dk1">
            <a:lumMod val="75000"/>
          </a:schemeClr>
        </a:solidFill>
        <a:round/>
      </a:ln>
    </cs:spPr>
  </cs:downBar>
  <cs:dropLine>
    <cs:lnRef idx="0"/>
    <cs:fillRef idx="0"/>
    <cs:effectRef idx="0"/>
    <cs:fontRef idx="minor">
      <a:schemeClr val="dk1"/>
    </cs:fontRef>
    <cs:spPr>
      <a:ln w="9525" cap="flat" cmpd="sng" algn="ctr">
        <a:solidFill>
          <a:schemeClr val="lt1">
            <a:alpha val="40000"/>
          </a:schemeClr>
        </a:solidFill>
        <a:round/>
      </a:ln>
    </cs:spPr>
  </cs:dropLine>
  <cs:errorBar>
    <cs:lnRef idx="0"/>
    <cs:fillRef idx="0"/>
    <cs:effectRef idx="0"/>
    <cs:fontRef idx="minor">
      <a:schemeClr val="dk1"/>
    </cs:fontRef>
    <cs:spPr>
      <a:ln w="9525" cap="flat" cmpd="sng" algn="ctr">
        <a:solidFill>
          <a:schemeClr val="lt1">
            <a:alpha val="4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prstDash val="sysDot"/>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65000"/>
                <a:alpha val="36000"/>
              </a:schemeClr>
            </a:gs>
          </a:gsLst>
          <a:lin ang="5400000" scaled="0"/>
        </a:gradFill>
      </a:ln>
    </cs:spPr>
  </cs:gridlineMinor>
  <cs:hiLoLine>
    <cs:lnRef idx="0"/>
    <cs:fillRef idx="0"/>
    <cs:effectRef idx="0"/>
    <cs:fontRef idx="minor">
      <a:schemeClr val="dk1"/>
    </cs:fontRef>
    <cs:spPr>
      <a:ln w="9525">
        <a:solidFill>
          <a:schemeClr val="lt1">
            <a:lumMod val="50000"/>
          </a:schemeClr>
        </a:solidFill>
        <a:round/>
      </a:ln>
    </cs:spPr>
  </cs:hiLoLine>
  <cs:leaderLine>
    <cs:lnRef idx="0"/>
    <cs:fillRef idx="0"/>
    <cs:effectRef idx="0"/>
    <cs:fontRef idx="minor">
      <a:schemeClr val="dk1"/>
    </cs:fontRef>
    <cs:spPr>
      <a:ln w="9525">
        <a:solidFill>
          <a:schemeClr val="lt1">
            <a:lumMod val="50000"/>
          </a:schemeClr>
        </a:solidFill>
        <a:round/>
      </a:ln>
    </cs:spPr>
  </cs:leaderLine>
  <cs:legend>
    <cs:lnRef idx="0"/>
    <cs:fillRef idx="0"/>
    <cs:effectRef idx="0"/>
    <cs:fontRef idx="minor">
      <a:schemeClr val="lt1">
        <a:lumMod val="8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bg1">
        <a:lumMod val="85000"/>
      </a:schemeClr>
    </cs:fontRef>
    <cs:spPr>
      <a:ln w="19050" cap="flat" cmpd="sng" algn="ctr">
        <a:solidFill>
          <a:schemeClr val="bg1">
            <a:lumMod val="85000"/>
          </a:schemeClr>
        </a:solidFill>
        <a:round/>
        <a:headEnd type="none" w="sm" len="sm"/>
        <a:tailEnd type="none" w="sm" len="sm"/>
      </a:ln>
    </cs:spPr>
    <cs:defRPr sz="900" b="1" kern="1200"/>
  </cs:seriesAxis>
  <cs:seriesLine>
    <cs:lnRef idx="0"/>
    <cs:fillRef idx="0"/>
    <cs:effectRef idx="0"/>
    <cs:fontRef idx="minor">
      <a:schemeClr val="dk1"/>
    </cs:fontRef>
    <cs:spPr>
      <a:ln w="9525">
        <a:solidFill>
          <a:schemeClr val="lt1">
            <a:lumMod val="50000"/>
          </a:schemeClr>
        </a:solidFill>
        <a:round/>
      </a:ln>
    </cs:spPr>
  </cs:seriesLine>
  <cs:title>
    <cs:lnRef idx="0"/>
    <cs:fillRef idx="0"/>
    <cs:effectRef idx="0"/>
    <cs:fontRef idx="major">
      <a:schemeClr val="lt1">
        <a:lumMod val="85000"/>
      </a:schemeClr>
    </cs:fontRef>
    <cs:defRPr sz="1800" b="1" kern="1200" baseline="0"/>
  </cs:title>
  <cs:trendline>
    <cs:lnRef idx="0">
      <cs:styleClr val="auto"/>
    </cs:lnRef>
    <cs:fillRef idx="0"/>
    <cs:effectRef idx="0"/>
    <cs:fontRef idx="minor">
      <a:schemeClr val="dk1"/>
    </cs:fontRef>
    <cs:spPr>
      <a:ln w="9525" cap="rnd">
        <a:solidFill>
          <a:schemeClr val="phClr">
            <a:alpha val="50000"/>
          </a:scheme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dk1"/>
    </cs:fontRef>
    <cs:spPr>
      <a:solidFill>
        <a:schemeClr val="lt1">
          <a:lumMod val="85000"/>
        </a:schemeClr>
      </a:solidFill>
      <a:ln w="9525">
        <a:solidFill>
          <a:schemeClr val="dk1">
            <a:lumMod val="50000"/>
          </a:schemeClr>
        </a:solidFill>
        <a:round/>
      </a:ln>
    </cs:spPr>
  </cs:upBar>
  <cs:valueAxis>
    <cs:lnRef idx="0"/>
    <cs:fillRef idx="0"/>
    <cs:effectRef idx="0"/>
    <cs:fontRef idx="minor">
      <a:schemeClr val="lt1">
        <a:lumMod val="75000"/>
      </a:schemeClr>
    </cs:fontRef>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1" Type="http://schemas.openxmlformats.org/officeDocument/2006/relationships/hyperlink" Target="https://www.excel-skills.com/home-loan-calculator.php" TargetMode="External"/></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absolute">
    <xdr:from>
      <xdr:col>0</xdr:col>
      <xdr:colOff>22860</xdr:colOff>
      <xdr:row>0</xdr:row>
      <xdr:rowOff>22860</xdr:rowOff>
    </xdr:from>
    <xdr:to>
      <xdr:col>8</xdr:col>
      <xdr:colOff>679500</xdr:colOff>
      <xdr:row>21</xdr:row>
      <xdr:rowOff>14010</xdr:rowOff>
    </xdr:to>
    <xdr:grpSp>
      <xdr:nvGrpSpPr>
        <xdr:cNvPr id="4" name="Group 3">
          <a:extLst>
            <a:ext uri="{FF2B5EF4-FFF2-40B4-BE49-F238E27FC236}">
              <a16:creationId xmlns:a16="http://schemas.microsoft.com/office/drawing/2014/main" id="{0159A435-C78F-4288-9E66-1C860E416512}"/>
            </a:ext>
          </a:extLst>
        </xdr:cNvPr>
        <xdr:cNvGrpSpPr/>
      </xdr:nvGrpSpPr>
      <xdr:grpSpPr>
        <a:xfrm>
          <a:off x="22860" y="22860"/>
          <a:ext cx="9252000" cy="3671610"/>
          <a:chOff x="17134" y="17145"/>
          <a:chExt cx="9252000" cy="3671610"/>
        </a:xfrm>
      </xdr:grpSpPr>
      <xdr:sp macro="" textlink="" fLocksText="0">
        <xdr:nvSpPr>
          <xdr:cNvPr id="5" name="Rectangle 1">
            <a:extLst>
              <a:ext uri="{FF2B5EF4-FFF2-40B4-BE49-F238E27FC236}">
                <a16:creationId xmlns:a16="http://schemas.microsoft.com/office/drawing/2014/main" id="{A4FF6290-14ED-403F-B5B6-081D7BF28865}"/>
              </a:ext>
            </a:extLst>
          </xdr:cNvPr>
          <xdr:cNvSpPr>
            <a:spLocks noChangeArrowheads="1"/>
          </xdr:cNvSpPr>
        </xdr:nvSpPr>
        <xdr:spPr bwMode="auto">
          <a:xfrm>
            <a:off x="17134" y="17145"/>
            <a:ext cx="9252000" cy="3671610"/>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horzOverflow="clip" wrap="square" lIns="180000" tIns="180000" rIns="180000" bIns="180000" anchor="t" anchorCtr="0" upright="1">
            <a:noAutofit/>
          </a:bodyPr>
          <a:lstStyle/>
          <a:p>
            <a:pPr algn="l" rtl="0">
              <a:lnSpc>
                <a:spcPct val="100000"/>
              </a:lnSpc>
              <a:spcAft>
                <a:spcPts val="0"/>
              </a:spcAft>
              <a:defRPr sz="1000"/>
            </a:pPr>
            <a:r>
              <a:rPr lang="en-US" sz="1200" b="1" i="0" u="none" strike="noStrike" baseline="0">
                <a:solidFill>
                  <a:schemeClr val="bg1"/>
                </a:solidFill>
                <a:latin typeface="+mn-lt"/>
                <a:cs typeface="Arial" panose="020B0604020202020204" pitchFamily="34" charset="0"/>
              </a:rPr>
              <a:t>EXCEL-SKILLS.COM</a:t>
            </a:r>
          </a:p>
          <a:p>
            <a:pPr algn="l" rtl="0">
              <a:lnSpc>
                <a:spcPct val="100000"/>
              </a:lnSpc>
              <a:defRPr sz="1000"/>
            </a:pPr>
            <a:r>
              <a:rPr lang="en-US" sz="2400" b="1" i="0" u="none" strike="noStrike" baseline="0">
                <a:solidFill>
                  <a:srgbClr val="FFFFFF"/>
                </a:solidFill>
                <a:latin typeface="Berlin Sans FB Demi" panose="020E0802020502020306" pitchFamily="34" charset="0"/>
                <a:cs typeface="Arial"/>
              </a:rPr>
              <a:t>BOND CALCULATOR TEMPLATE</a:t>
            </a:r>
          </a:p>
          <a:p>
            <a:pPr algn="just" rtl="0">
              <a:lnSpc>
                <a:spcPts val="1500"/>
              </a:lnSpc>
              <a:spcBef>
                <a:spcPts val="300"/>
              </a:spcBef>
              <a:spcAft>
                <a:spcPts val="300"/>
              </a:spcAft>
              <a:defRPr sz="1000"/>
            </a:pPr>
            <a:r>
              <a:rPr lang="en-US" sz="1100" b="0" i="0" u="none" strike="noStrike" baseline="0">
                <a:solidFill>
                  <a:srgbClr val="FFFFFF"/>
                </a:solidFill>
                <a:latin typeface="+mn-lt"/>
                <a:cs typeface="Arial" panose="020B0604020202020204" pitchFamily="34" charset="0"/>
              </a:rPr>
              <a:t>Bond calculators are sometimes also referred to as home loan calculators or mortgage calculators. The aim of this free Excel template is to enable users to calculate monthly bond repayments, determine the affordability of a home loan, calculate the interest savings that result from increased bond instalments and measure the sensitivity of bond repayments to changes in interest rates. After using this template, you will also gain a better understanding of home loan amortization and specifically the timing of capital repayments on a bond.</a:t>
            </a:r>
          </a:p>
          <a:p>
            <a:pPr marL="0" algn="just" rtl="0">
              <a:lnSpc>
                <a:spcPct val="100000"/>
              </a:lnSpc>
              <a:spcBef>
                <a:spcPts val="300"/>
              </a:spcBef>
              <a:spcAft>
                <a:spcPts val="300"/>
              </a:spcAft>
              <a:defRPr sz="1000"/>
            </a:pPr>
            <a:r>
              <a:rPr lang="en-US" sz="1200" b="1" i="0" u="none" strike="noStrike" baseline="0">
                <a:solidFill>
                  <a:srgbClr val="FFFFFF"/>
                </a:solidFill>
                <a:latin typeface="+mn-lt"/>
                <a:cs typeface="Arial" panose="020B0604020202020204" pitchFamily="34" charset="0"/>
              </a:rPr>
              <a:t>View all our unique templates!</a:t>
            </a:r>
          </a:p>
          <a:p>
            <a:pPr marL="0" algn="just" rtl="0">
              <a:lnSpc>
                <a:spcPts val="1500"/>
              </a:lnSpc>
              <a:spcBef>
                <a:spcPts val="0"/>
              </a:spcBef>
              <a:spcAft>
                <a:spcPts val="300"/>
              </a:spcAft>
              <a:defRPr sz="1000"/>
            </a:pPr>
            <a:r>
              <a:rPr lang="en-US" sz="1100" b="0" i="0" u="none" strike="noStrike" baseline="0">
                <a:solidFill>
                  <a:srgbClr val="FFFFFF"/>
                </a:solidFill>
                <a:latin typeface="+mn-lt"/>
                <a:cs typeface="Arial" panose="020B0604020202020204" pitchFamily="34" charset="0"/>
              </a:rPr>
              <a:t>This free template forms part of our unique range of innovative Excel templates which features accounting in Excel, financial statements, management accounts, cash flow projections, business valuations, fixed assets, costing &amp; inventory, monthly payroll and a lot more.</a:t>
            </a:r>
          </a:p>
        </xdr:txBody>
      </xdr:sp>
      <xdr:sp macro="" textlink="" fLocksText="0">
        <xdr:nvSpPr>
          <xdr:cNvPr id="6" name="TextBox 5">
            <a:hlinkClick xmlns:r="http://schemas.openxmlformats.org/officeDocument/2006/relationships" r:id="rId1"/>
            <a:extLst>
              <a:ext uri="{FF2B5EF4-FFF2-40B4-BE49-F238E27FC236}">
                <a16:creationId xmlns:a16="http://schemas.microsoft.com/office/drawing/2014/main" id="{B6689DF6-3289-4870-AF8C-D09DAC7BCBE0}"/>
              </a:ext>
            </a:extLst>
          </xdr:cNvPr>
          <xdr:cNvSpPr txBox="1"/>
        </xdr:nvSpPr>
        <xdr:spPr>
          <a:xfrm>
            <a:off x="2011680" y="2901317"/>
            <a:ext cx="4680000" cy="485145"/>
          </a:xfrm>
          <a:prstGeom prst="rect">
            <a:avLst/>
          </a:prstGeom>
          <a:solidFill>
            <a:srgbClr val="FE4A49"/>
          </a:solidFill>
          <a:ln w="50800" cap="rnd" cmpd="sng">
            <a:solidFill>
              <a:srgbClr val="FE4A49"/>
            </a:solidFill>
          </a:ln>
          <a:effectLst/>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ZA" sz="1400" b="1" u="none">
                <a:solidFill>
                  <a:schemeClr val="bg1"/>
                </a:solidFill>
                <a:latin typeface="+mn-lt"/>
              </a:rPr>
              <a:t>Get</a:t>
            </a:r>
            <a:r>
              <a:rPr lang="en-ZA" sz="1400" b="1" u="none" baseline="0">
                <a:solidFill>
                  <a:schemeClr val="bg1"/>
                </a:solidFill>
                <a:latin typeface="+mn-lt"/>
              </a:rPr>
              <a:t> more templates!</a:t>
            </a:r>
            <a:endParaRPr lang="en-ZA" sz="1400" b="1" u="none">
              <a:solidFill>
                <a:schemeClr val="bg1"/>
              </a:solidFill>
              <a:latin typeface="+mn-lt"/>
            </a:endParaRPr>
          </a:p>
        </xdr:txBody>
      </xdr:sp>
      <xdr:sp macro="" textlink="" fLocksText="0">
        <xdr:nvSpPr>
          <xdr:cNvPr id="7" name="TextBox 6">
            <a:extLst>
              <a:ext uri="{FF2B5EF4-FFF2-40B4-BE49-F238E27FC236}">
                <a16:creationId xmlns:a16="http://schemas.microsoft.com/office/drawing/2014/main" id="{2B3C3913-507F-4655-9E1C-360299F1D529}"/>
              </a:ext>
            </a:extLst>
          </xdr:cNvPr>
          <xdr:cNvSpPr txBox="1"/>
        </xdr:nvSpPr>
        <xdr:spPr>
          <a:xfrm>
            <a:off x="2004060" y="3413760"/>
            <a:ext cx="4680000" cy="2514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ZA" sz="1000" i="1">
                <a:solidFill>
                  <a:schemeClr val="bg1">
                    <a:lumMod val="75000"/>
                  </a:schemeClr>
                </a:solidFill>
              </a:rPr>
              <a:t>enable editing to activate the link</a:t>
            </a:r>
          </a:p>
        </xdr:txBody>
      </xdr:sp>
    </xdr:grp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3</xdr:col>
      <xdr:colOff>29578</xdr:colOff>
      <xdr:row>14</xdr:row>
      <xdr:rowOff>151899</xdr:rowOff>
    </xdr:from>
    <xdr:to>
      <xdr:col>8</xdr:col>
      <xdr:colOff>982078</xdr:colOff>
      <xdr:row>30</xdr:row>
      <xdr:rowOff>66174</xdr:rowOff>
    </xdr:to>
    <xdr:graphicFrame macro="">
      <xdr:nvGraphicFramePr>
        <xdr:cNvPr id="2049" name="Chart 1">
          <a:extLst>
            <a:ext uri="{FF2B5EF4-FFF2-40B4-BE49-F238E27FC236}">
              <a16:creationId xmlns:a16="http://schemas.microsoft.com/office/drawing/2014/main" id="{00000000-0008-0000-0200-0000010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29578</xdr:colOff>
      <xdr:row>0</xdr:row>
      <xdr:rowOff>47625</xdr:rowOff>
    </xdr:from>
    <xdr:to>
      <xdr:col>8</xdr:col>
      <xdr:colOff>982078</xdr:colOff>
      <xdr:row>14</xdr:row>
      <xdr:rowOff>133350</xdr:rowOff>
    </xdr:to>
    <xdr:graphicFrame macro="">
      <xdr:nvGraphicFramePr>
        <xdr:cNvPr id="2050" name="Chart 2">
          <a:extLst>
            <a:ext uri="{FF2B5EF4-FFF2-40B4-BE49-F238E27FC236}">
              <a16:creationId xmlns:a16="http://schemas.microsoft.com/office/drawing/2014/main" id="{00000000-0008-0000-0200-0000020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oneCellAnchor>
    <xdr:from>
      <xdr:col>7</xdr:col>
      <xdr:colOff>50800</xdr:colOff>
      <xdr:row>11</xdr:row>
      <xdr:rowOff>64686</xdr:rowOff>
    </xdr:from>
    <xdr:ext cx="4793916" cy="1500622"/>
    <xdr:sp macro="" textlink="">
      <xdr:nvSpPr>
        <xdr:cNvPr id="3" name="Rectangle 17">
          <a:extLst>
            <a:ext uri="{FF2B5EF4-FFF2-40B4-BE49-F238E27FC236}">
              <a16:creationId xmlns:a16="http://schemas.microsoft.com/office/drawing/2014/main" id="{E081D6B8-DD92-445E-AF1B-7643B90DDEDA}"/>
            </a:ext>
          </a:extLst>
        </xdr:cNvPr>
        <xdr:cNvSpPr>
          <a:spLocks noChangeArrowheads="1"/>
        </xdr:cNvSpPr>
      </xdr:nvSpPr>
      <xdr:spPr bwMode="auto">
        <a:xfrm>
          <a:off x="8737600" y="2270475"/>
          <a:ext cx="4793916" cy="150062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Simply enter the appropriate values in the yellow input cells in order to calculate your monthly net disposable income. All input values need to be entered as positive values and guidance on the user input required in all the input cells can be found from row 38 downwards.</a:t>
          </a:r>
        </a:p>
      </xdr:txBody>
    </xdr:sp>
    <xdr:clientData fLocksWithSheet="0" fPrintsWithSheet="0"/>
  </xdr:oneCellAnchor>
</xdr:wsDr>
</file>

<file path=xl/persons/person.xml><?xml version="1.0" encoding="utf-8"?>
<personList xmlns="http://schemas.microsoft.com/office/spreadsheetml/2018/threadedcomments" xmlns:x="http://schemas.openxmlformats.org/spreadsheetml/2006/main"/>
</file>

<file path=xl/theme/_rels/theme1.x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Quotable">
  <a:themeElements>
    <a:clrScheme name="Quotable">
      <a:dk1>
        <a:sysClr val="windowText" lastClr="000000"/>
      </a:dk1>
      <a:lt1>
        <a:sysClr val="window" lastClr="FFFFFF"/>
      </a:lt1>
      <a:dk2>
        <a:srgbClr val="212121"/>
      </a:dk2>
      <a:lt2>
        <a:srgbClr val="636363"/>
      </a:lt2>
      <a:accent1>
        <a:srgbClr val="00C6BB"/>
      </a:accent1>
      <a:accent2>
        <a:srgbClr val="6FEBA0"/>
      </a:accent2>
      <a:accent3>
        <a:srgbClr val="B6DF5E"/>
      </a:accent3>
      <a:accent4>
        <a:srgbClr val="EFB251"/>
      </a:accent4>
      <a:accent5>
        <a:srgbClr val="EF755F"/>
      </a:accent5>
      <a:accent6>
        <a:srgbClr val="ED515C"/>
      </a:accent6>
      <a:hlink>
        <a:srgbClr val="8F8F8F"/>
      </a:hlink>
      <a:folHlink>
        <a:srgbClr val="A5A5A5"/>
      </a:folHlink>
    </a:clrScheme>
    <a:fontScheme name="Quotable">
      <a:majorFont>
        <a:latin typeface="Century Gothic" panose="020B0502020202020204"/>
        <a:ea typeface=""/>
        <a:cs typeface=""/>
        <a:font script="Jpan" typeface="ＭＳ ゴシック"/>
        <a:font script="Hang" typeface="맑은 고딕"/>
        <a:font script="Hans" typeface="宋体"/>
        <a:font script="Hant" typeface="新細明體"/>
        <a:font script="Arab" typeface="Tahoma"/>
        <a:font script="Hebr" typeface="Gisha"/>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entury Gothic" panose="020B0502020202020204"/>
        <a:ea typeface=""/>
        <a:cs typeface=""/>
        <a:font script="Jpan" typeface="ＭＳ ゴシック"/>
        <a:font script="Hang" typeface="맑은 고딕"/>
        <a:font script="Hans" typeface="宋体"/>
        <a:font script="Hant" typeface="新細明體"/>
        <a:font script="Arab" typeface="Tahoma"/>
        <a:font script="Hebr" typeface="Gisha"/>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Verdana"/>
        <a:font script="Uigh" typeface="Microsoft Uighur"/>
        <a:font script="Geor" typeface="Sylfaen"/>
      </a:minorFont>
    </a:fontScheme>
    <a:fmtScheme name="Quotable">
      <a:fillStyleLst>
        <a:solidFill>
          <a:schemeClr val="phClr"/>
        </a:solidFill>
        <a:gradFill rotWithShape="1">
          <a:gsLst>
            <a:gs pos="0">
              <a:schemeClr val="phClr">
                <a:tint val="80000"/>
                <a:lumMod val="105000"/>
              </a:schemeClr>
            </a:gs>
            <a:gs pos="100000">
              <a:schemeClr val="phClr">
                <a:tint val="90000"/>
              </a:schemeClr>
            </a:gs>
          </a:gsLst>
          <a:lin ang="5400000" scaled="0"/>
        </a:gradFill>
        <a:blipFill rotWithShape="1">
          <a:blip xmlns:r="http://schemas.openxmlformats.org/officeDocument/2006/relationships" r:embed="rId1">
            <a:duotone>
              <a:schemeClr val="phClr">
                <a:tint val="98000"/>
                <a:lumMod val="102000"/>
              </a:schemeClr>
              <a:schemeClr val="phClr">
                <a:shade val="98000"/>
                <a:lumMod val="98000"/>
              </a:schemeClr>
            </a:duotone>
          </a:blip>
          <a:tile tx="0" ty="0" sx="100000" sy="100000" flip="none" algn="tl"/>
        </a:blipFill>
      </a:fillStyleLst>
      <a:lnStyleLst>
        <a:ln w="9525" cap="rnd" cmpd="sng" algn="ctr">
          <a:solidFill>
            <a:schemeClr val="phClr"/>
          </a:solidFill>
          <a:prstDash val="solid"/>
        </a:ln>
        <a:ln w="15875" cap="rnd" cmpd="sng" algn="ctr">
          <a:solidFill>
            <a:schemeClr val="phClr"/>
          </a:solidFill>
          <a:prstDash val="solid"/>
        </a:ln>
        <a:ln w="25400" cap="rnd" cmpd="sng" algn="ctr">
          <a:solidFill>
            <a:schemeClr val="phClr"/>
          </a:solidFill>
          <a:prstDash val="solid"/>
        </a:ln>
      </a:lnStyleLst>
      <a:effectStyleLst>
        <a:effectStyle>
          <a:effectLst/>
        </a:effectStyle>
        <a:effectStyle>
          <a:effectLst/>
        </a:effectStyle>
        <a:effectStyle>
          <a:effectLst>
            <a:innerShdw blurRad="63500" dist="25400" dir="13500000">
              <a:srgbClr val="000000">
                <a:alpha val="75000"/>
              </a:srgbClr>
            </a:innerShdw>
          </a:effectLst>
        </a:effectStyle>
      </a:effectStyleLst>
      <a:bgFillStyleLst>
        <a:solidFill>
          <a:schemeClr val="phClr"/>
        </a:solidFill>
        <a:gradFill rotWithShape="1">
          <a:gsLst>
            <a:gs pos="0">
              <a:schemeClr val="phClr">
                <a:tint val="100000"/>
              </a:schemeClr>
            </a:gs>
            <a:gs pos="100000">
              <a:schemeClr val="phClr">
                <a:tint val="84000"/>
                <a:shade val="84000"/>
                <a:lumMod val="90000"/>
              </a:schemeClr>
            </a:gs>
          </a:gsLst>
          <a:lin ang="5400000" scaled="0"/>
        </a:gradFill>
        <a:gradFill rotWithShape="1">
          <a:gsLst>
            <a:gs pos="0">
              <a:schemeClr val="phClr">
                <a:tint val="84000"/>
                <a:shade val="90000"/>
                <a:satMod val="120000"/>
                <a:lumMod val="90000"/>
              </a:schemeClr>
            </a:gs>
            <a:gs pos="100000">
              <a:schemeClr val="phClr"/>
            </a:gs>
          </a:gsLst>
          <a:lin ang="5400000" scaled="0"/>
        </a:gradFill>
      </a:bgFillStyleLst>
    </a:fmtScheme>
  </a:themeElements>
  <a:objectDefaults/>
  <a:extraClrSchemeLst/>
  <a:extLst>
    <a:ext uri="{05A4C25C-085E-4340-85A3-A5531E510DB2}">
      <thm15:themeFamily xmlns:thm15="http://schemas.microsoft.com/office/thememl/2012/main" name="Quotable" id="{39EC5628-30ED-4578-ACD8-9820EDB8E15A}" vid="{6F3559E9-1A4C-49D8-94D4-F41003531C49}"/>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excel-skills.com/"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4.bin"/><Relationship Id="rId1" Type="http://schemas.openxmlformats.org/officeDocument/2006/relationships/hyperlink" Target="http://www.excel-skills.com/"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tabSelected="1" workbookViewId="0">
      <selection activeCell="B2" sqref="B2"/>
    </sheetView>
  </sheetViews>
  <sheetFormatPr defaultRowHeight="13.8" x14ac:dyDescent="0.25"/>
  <cols>
    <col min="1" max="18" width="15.6640625" style="1" customWidth="1"/>
    <col min="19" max="16384" width="8.88671875" style="1"/>
  </cols>
  <sheetData/>
  <phoneticPr fontId="3" type="noConversion"/>
  <pageMargins left="0.75" right="0.75" top="1" bottom="1" header="0.5" footer="0.5"/>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41"/>
  <sheetViews>
    <sheetView zoomScale="95" zoomScaleNormal="95" workbookViewId="0">
      <pane ySplit="3" topLeftCell="A4" activePane="bottomLeft" state="frozen"/>
      <selection pane="bottomLeft"/>
    </sheetView>
  </sheetViews>
  <sheetFormatPr defaultColWidth="9.109375" defaultRowHeight="13.2" x14ac:dyDescent="0.25"/>
  <cols>
    <col min="1" max="1" width="109.77734375" style="3" customWidth="1"/>
    <col min="2" max="35" width="25.6640625" style="3" customWidth="1"/>
    <col min="36" max="16384" width="9.109375" style="3"/>
  </cols>
  <sheetData>
    <row r="1" spans="1:1" ht="15" x14ac:dyDescent="0.25">
      <c r="A1" s="11" t="s">
        <v>147</v>
      </c>
    </row>
    <row r="2" spans="1:1" s="13" customFormat="1" ht="15" customHeight="1" x14ac:dyDescent="0.25">
      <c r="A2" s="12" t="s">
        <v>148</v>
      </c>
    </row>
    <row r="3" spans="1:1" s="13" customFormat="1" ht="15" customHeight="1" x14ac:dyDescent="0.25">
      <c r="A3" s="14" t="s">
        <v>1</v>
      </c>
    </row>
    <row r="4" spans="1:1" x14ac:dyDescent="0.25">
      <c r="A4" s="10"/>
    </row>
    <row r="5" spans="1:1" ht="66" x14ac:dyDescent="0.25">
      <c r="A5" s="5" t="s">
        <v>195</v>
      </c>
    </row>
    <row r="7" spans="1:1" x14ac:dyDescent="0.25">
      <c r="A7" s="3" t="s">
        <v>184</v>
      </c>
    </row>
    <row r="8" spans="1:1" s="5" customFormat="1" x14ac:dyDescent="0.25">
      <c r="A8" s="3"/>
    </row>
    <row r="9" spans="1:1" s="5" customFormat="1" x14ac:dyDescent="0.2">
      <c r="A9" s="6" t="s">
        <v>139</v>
      </c>
    </row>
    <row r="10" spans="1:1" s="5" customFormat="1" x14ac:dyDescent="0.2">
      <c r="A10" s="6"/>
    </row>
    <row r="11" spans="1:1" s="5" customFormat="1" ht="52.8" x14ac:dyDescent="0.25">
      <c r="A11" s="5" t="s">
        <v>190</v>
      </c>
    </row>
    <row r="12" spans="1:1" s="5" customFormat="1" x14ac:dyDescent="0.25"/>
    <row r="13" spans="1:1" s="5" customFormat="1" x14ac:dyDescent="0.25">
      <c r="A13" s="7" t="s">
        <v>145</v>
      </c>
    </row>
    <row r="14" spans="1:1" s="5" customFormat="1" x14ac:dyDescent="0.25">
      <c r="A14" s="7"/>
    </row>
    <row r="15" spans="1:1" s="5" customFormat="1" ht="26.4" x14ac:dyDescent="0.25">
      <c r="A15" s="5" t="s">
        <v>197</v>
      </c>
    </row>
    <row r="16" spans="1:1" s="5" customFormat="1" x14ac:dyDescent="0.25">
      <c r="A16" s="90" t="s">
        <v>205</v>
      </c>
    </row>
    <row r="17" spans="1:1" s="5" customFormat="1" ht="26.4" x14ac:dyDescent="0.25">
      <c r="A17" s="5" t="s">
        <v>198</v>
      </c>
    </row>
    <row r="18" spans="1:1" s="5" customFormat="1" ht="26.4" x14ac:dyDescent="0.25">
      <c r="A18" s="5" t="s">
        <v>199</v>
      </c>
    </row>
    <row r="19" spans="1:1" s="5" customFormat="1" ht="66" x14ac:dyDescent="0.25">
      <c r="A19" s="5" t="s">
        <v>200</v>
      </c>
    </row>
    <row r="20" spans="1:1" s="5" customFormat="1" ht="26.4" x14ac:dyDescent="0.25">
      <c r="A20" s="5" t="s">
        <v>201</v>
      </c>
    </row>
    <row r="21" spans="1:1" s="5" customFormat="1" ht="26.4" x14ac:dyDescent="0.25">
      <c r="A21" s="5" t="s">
        <v>202</v>
      </c>
    </row>
    <row r="22" spans="1:1" s="5" customFormat="1" ht="66" x14ac:dyDescent="0.25">
      <c r="A22" s="90" t="s">
        <v>206</v>
      </c>
    </row>
    <row r="23" spans="1:1" s="5" customFormat="1" ht="26.4" x14ac:dyDescent="0.25">
      <c r="A23" s="90" t="s">
        <v>207</v>
      </c>
    </row>
    <row r="24" spans="1:1" s="5" customFormat="1" x14ac:dyDescent="0.25">
      <c r="A24" s="5" t="s">
        <v>203</v>
      </c>
    </row>
    <row r="25" spans="1:1" s="5" customFormat="1" ht="26.4" x14ac:dyDescent="0.25">
      <c r="A25" s="5" t="s">
        <v>204</v>
      </c>
    </row>
    <row r="26" spans="1:1" s="5" customFormat="1" x14ac:dyDescent="0.25"/>
    <row r="27" spans="1:1" s="5" customFormat="1" x14ac:dyDescent="0.25">
      <c r="A27" s="8" t="s">
        <v>138</v>
      </c>
    </row>
    <row r="28" spans="1:1" s="5" customFormat="1" x14ac:dyDescent="0.25">
      <c r="A28" s="8"/>
    </row>
    <row r="29" spans="1:1" s="5" customFormat="1" ht="39.6" x14ac:dyDescent="0.25">
      <c r="A29" s="5" t="s">
        <v>194</v>
      </c>
    </row>
    <row r="30" spans="1:1" s="5" customFormat="1" x14ac:dyDescent="0.25"/>
    <row r="31" spans="1:1" s="5" customFormat="1" x14ac:dyDescent="0.25">
      <c r="A31" s="8" t="s">
        <v>137</v>
      </c>
    </row>
    <row r="32" spans="1:1" s="5" customFormat="1" x14ac:dyDescent="0.25">
      <c r="A32" s="8"/>
    </row>
    <row r="33" spans="1:1" s="5" customFormat="1" ht="52.8" x14ac:dyDescent="0.25">
      <c r="A33" s="90" t="s">
        <v>208</v>
      </c>
    </row>
    <row r="34" spans="1:1" s="5" customFormat="1" x14ac:dyDescent="0.25"/>
    <row r="35" spans="1:1" x14ac:dyDescent="0.25">
      <c r="A35" s="8" t="s">
        <v>140</v>
      </c>
    </row>
    <row r="36" spans="1:1" x14ac:dyDescent="0.25">
      <c r="A36" s="8"/>
    </row>
    <row r="37" spans="1:1" ht="26.4" x14ac:dyDescent="0.25">
      <c r="A37" s="90" t="s">
        <v>191</v>
      </c>
    </row>
    <row r="38" spans="1:1" x14ac:dyDescent="0.25">
      <c r="A38" s="5"/>
    </row>
    <row r="39" spans="1:1" x14ac:dyDescent="0.25">
      <c r="A39" s="8"/>
    </row>
    <row r="41" spans="1:1" x14ac:dyDescent="0.25">
      <c r="A41" s="9"/>
    </row>
  </sheetData>
  <sheetProtection selectLockedCells="1"/>
  <phoneticPr fontId="3" type="noConversion"/>
  <hyperlinks>
    <hyperlink ref="A3" r:id="rId1" xr:uid="{00000000-0004-0000-0100-000000000000}"/>
  </hyperlinks>
  <pageMargins left="0.55118110236220474" right="0.55118110236220474" top="0.59055118110236227" bottom="0.59055118110236227" header="0.39370078740157483" footer="0.39370078740157483"/>
  <pageSetup paperSize="9" scale="84" fitToHeight="0" orientation="portrait" r:id="rId2"/>
  <headerFooter alignWithMargins="0">
    <oddFooter>&amp;C&amp;9Page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C30"/>
  <sheetViews>
    <sheetView zoomScale="95" workbookViewId="0">
      <selection activeCell="B4" sqref="B4"/>
    </sheetView>
  </sheetViews>
  <sheetFormatPr defaultColWidth="9.109375" defaultRowHeight="16.05" customHeight="1" x14ac:dyDescent="0.25"/>
  <cols>
    <col min="1" max="1" width="40.109375" style="37" customWidth="1"/>
    <col min="2" max="19" width="15.6640625" style="37" customWidth="1"/>
    <col min="20" max="16384" width="9.109375" style="37"/>
  </cols>
  <sheetData>
    <row r="1" spans="1:3" ht="16.05" customHeight="1" x14ac:dyDescent="0.25">
      <c r="A1" s="15" t="s">
        <v>6</v>
      </c>
      <c r="C1" s="4"/>
    </row>
    <row r="2" spans="1:3" ht="16.05" customHeight="1" x14ac:dyDescent="0.25">
      <c r="A2" s="25" t="s">
        <v>193</v>
      </c>
    </row>
    <row r="3" spans="1:3" ht="16.05" customHeight="1" x14ac:dyDescent="0.25">
      <c r="A3" s="2" t="s">
        <v>7</v>
      </c>
    </row>
    <row r="4" spans="1:3" ht="16.05" customHeight="1" x14ac:dyDescent="0.25">
      <c r="A4" s="71" t="s">
        <v>8</v>
      </c>
      <c r="B4" s="65">
        <v>2500000</v>
      </c>
    </row>
    <row r="5" spans="1:3" ht="16.05" customHeight="1" x14ac:dyDescent="0.25">
      <c r="A5" s="71" t="s">
        <v>2</v>
      </c>
      <c r="B5" s="66">
        <v>0.11</v>
      </c>
    </row>
    <row r="6" spans="1:3" ht="16.05" customHeight="1" x14ac:dyDescent="0.25">
      <c r="A6" s="71" t="s">
        <v>11</v>
      </c>
      <c r="B6" s="50">
        <v>20</v>
      </c>
    </row>
    <row r="7" spans="1:3" ht="16.05" customHeight="1" x14ac:dyDescent="0.25">
      <c r="A7" s="71" t="s">
        <v>141</v>
      </c>
      <c r="B7" s="65">
        <v>2000</v>
      </c>
    </row>
    <row r="8" spans="1:3" ht="16.05" customHeight="1" x14ac:dyDescent="0.25">
      <c r="A8" s="71" t="s">
        <v>93</v>
      </c>
      <c r="B8" s="67">
        <v>0.12</v>
      </c>
    </row>
    <row r="9" spans="1:3" ht="16.05" customHeight="1" x14ac:dyDescent="0.25">
      <c r="A9" s="71" t="s">
        <v>94</v>
      </c>
      <c r="B9" s="68">
        <v>0.06</v>
      </c>
    </row>
    <row r="11" spans="1:3" ht="16.05" customHeight="1" x14ac:dyDescent="0.25">
      <c r="A11" s="2" t="s">
        <v>179</v>
      </c>
    </row>
    <row r="12" spans="1:3" ht="16.05" customHeight="1" x14ac:dyDescent="0.25">
      <c r="A12" s="37" t="s">
        <v>9</v>
      </c>
      <c r="B12" s="20">
        <f>PMT(B5/12,B6*12,-B4,0,0)</f>
        <v>25804.709809401418</v>
      </c>
    </row>
    <row r="13" spans="1:3" ht="16.05" customHeight="1" x14ac:dyDescent="0.25">
      <c r="A13" s="37" t="s">
        <v>10</v>
      </c>
      <c r="B13" s="69">
        <f>B14-B4</f>
        <v>3693130.3542563403</v>
      </c>
    </row>
    <row r="14" spans="1:3" ht="16.05" customHeight="1" x14ac:dyDescent="0.25">
      <c r="A14" s="37" t="s">
        <v>192</v>
      </c>
      <c r="B14" s="69">
        <f>B12*12*B6</f>
        <v>6193130.3542563403</v>
      </c>
    </row>
    <row r="15" spans="1:3" ht="16.05" customHeight="1" x14ac:dyDescent="0.25">
      <c r="B15" s="69"/>
    </row>
    <row r="16" spans="1:3" ht="16.05" customHeight="1" x14ac:dyDescent="0.25">
      <c r="A16" s="37" t="s">
        <v>90</v>
      </c>
      <c r="B16" s="70">
        <f>NetDisposable!$C$35</f>
        <v>30000</v>
      </c>
    </row>
    <row r="17" spans="1:2" ht="16.05" customHeight="1" x14ac:dyDescent="0.25">
      <c r="A17" s="37" t="s">
        <v>185</v>
      </c>
      <c r="B17" s="20">
        <f>-PV(B5/12,B6*12,B16,0,0)</f>
        <v>2906446.1702520475</v>
      </c>
    </row>
    <row r="18" spans="1:2" ht="16.05" customHeight="1" x14ac:dyDescent="0.25">
      <c r="A18" s="37" t="s">
        <v>136</v>
      </c>
      <c r="B18" s="59">
        <f>B12</f>
        <v>25804.709809401418</v>
      </c>
    </row>
    <row r="19" spans="1:2" ht="16.05" customHeight="1" x14ac:dyDescent="0.25">
      <c r="A19" s="37" t="s">
        <v>92</v>
      </c>
      <c r="B19" s="26">
        <f>IF(B16=0,"no NDI",(RATE(B6*12,B16,-B4,0,0)*12)-B5)</f>
        <v>2.3974016219806812E-2</v>
      </c>
    </row>
    <row r="21" spans="1:2" ht="16.05" customHeight="1" x14ac:dyDescent="0.25">
      <c r="A21" s="37" t="s">
        <v>186</v>
      </c>
      <c r="B21" s="20">
        <f>B12+B7</f>
        <v>27804.709809401418</v>
      </c>
    </row>
    <row r="22" spans="1:2" ht="16.05" customHeight="1" x14ac:dyDescent="0.25">
      <c r="A22" s="37" t="s">
        <v>129</v>
      </c>
      <c r="B22" s="20">
        <f>MonthAmort!L364</f>
        <v>2797189.8248473643</v>
      </c>
    </row>
    <row r="23" spans="1:2" ht="16.05" customHeight="1" x14ac:dyDescent="0.25">
      <c r="A23" s="37" t="s">
        <v>187</v>
      </c>
      <c r="B23" s="20">
        <f>NPER(B5/12,B21,-B4,0,0)</f>
        <v>190.51298033364029</v>
      </c>
    </row>
    <row r="24" spans="1:2" ht="16.05" customHeight="1" x14ac:dyDescent="0.25">
      <c r="A24" s="37" t="s">
        <v>188</v>
      </c>
      <c r="B24" s="20">
        <f>B23/12</f>
        <v>15.876081694470024</v>
      </c>
    </row>
    <row r="25" spans="1:2" ht="16.05" customHeight="1" x14ac:dyDescent="0.25">
      <c r="A25" s="37" t="s">
        <v>130</v>
      </c>
      <c r="B25" s="20">
        <f>MonthAmort!P364</f>
        <v>895940.52940898971</v>
      </c>
    </row>
    <row r="26" spans="1:2" ht="16.05" customHeight="1" x14ac:dyDescent="0.25">
      <c r="A26" s="37" t="s">
        <v>131</v>
      </c>
      <c r="B26" s="20">
        <f>MonthAmort!S364</f>
        <v>420478.52054577257</v>
      </c>
    </row>
    <row r="28" spans="1:2" ht="16.05" customHeight="1" x14ac:dyDescent="0.25">
      <c r="A28" s="37" t="str">
        <f>"Monthly Bond Repayment @ "&amp;FIXED(B5*100,2)&amp;"%"</f>
        <v>Monthly Bond Repayment @ 11.00%</v>
      </c>
      <c r="B28" s="69">
        <f>B12</f>
        <v>25804.709809401418</v>
      </c>
    </row>
    <row r="29" spans="1:2" ht="16.05" customHeight="1" x14ac:dyDescent="0.25">
      <c r="A29" s="37" t="str">
        <f>"Monthly Bond Repayment @ "&amp;FIXED(B8*100,2)&amp;"%"</f>
        <v>Monthly Bond Repayment @ 12.00%</v>
      </c>
      <c r="B29" s="20">
        <f>PMT(B8/12,B6*12,-B4,0,0)</f>
        <v>27527.153339240249</v>
      </c>
    </row>
    <row r="30" spans="1:2" ht="16.05" customHeight="1" x14ac:dyDescent="0.25">
      <c r="A30" s="37" t="s">
        <v>189</v>
      </c>
      <c r="B30" s="69">
        <f>B29-B28</f>
        <v>1722.4435298388307</v>
      </c>
    </row>
  </sheetData>
  <phoneticPr fontId="3" type="noConversion"/>
  <dataValidations xWindow="407" yWindow="169" count="5">
    <dataValidation type="decimal" allowBlank="1" showInputMessage="1" showErrorMessage="1" errorTitle="Invalid Input" error="The annual interest rate must be a percentage!" promptTitle="Annual Interest Rate" prompt="Enter the annual interest rate as a percentage." sqref="B5" xr:uid="{00000000-0002-0000-0200-000000000000}">
      <formula1>0</formula1>
      <formula2>1</formula2>
    </dataValidation>
    <dataValidation type="whole" allowBlank="1" showInputMessage="1" showErrorMessage="1" errorTitle="Invalid Input" error="The bond period must be between 1 and 30 years!" promptTitle="Bond Period in Years" prompt="Enter a bond repayment period between 1 and 30 years." sqref="B6" xr:uid="{00000000-0002-0000-0200-000001000000}">
      <formula1>1</formula1>
      <formula2>30</formula2>
    </dataValidation>
    <dataValidation allowBlank="1" showInputMessage="1" showErrorMessage="1" promptTitle="Increased Instalment" prompt="Enter an additional monthly bond repayment amount for increased instalment calculation purposes." sqref="B7" xr:uid="{00000000-0002-0000-0200-000002000000}"/>
    <dataValidation type="decimal" allowBlank="1" showInputMessage="1" showErrorMessage="1" errorTitle="Invalid Input" error="This interest rate must be entered as a percentage!" promptTitle="Interest Rate Sensitivity" prompt="Enter a second interest rate for comparison against the annual bond interest rate." sqref="B8" xr:uid="{00000000-0002-0000-0200-000003000000}">
      <formula1>0</formula1>
      <formula2>1</formula2>
    </dataValidation>
    <dataValidation allowBlank="1" showInputMessage="1" showErrorMessage="1" errorTitle="Invalid Input" error="The average inflation rate must be a percentage!" promptTitle="Annual Inflation Rate" prompt="Enter the average annual inflation rate as a percentage. This value forms part of the present value calculation of the increased instalment interest saving." sqref="B9" xr:uid="{00000000-0002-0000-0200-000004000000}"/>
  </dataValidations>
  <pageMargins left="0.74803149606299213" right="0.74803149606299213" top="0.98425196850393704" bottom="0.98425196850393704" header="0.51181102362204722" footer="0.51181102362204722"/>
  <pageSetup paperSize="9" scale="78" orientation="landscape" r:id="rId1"/>
  <headerFooter alignWithMargins="0">
    <oddFooter>&amp;C&amp;"-,Regular"&amp;9Page &amp;P of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J89"/>
  <sheetViews>
    <sheetView zoomScale="95" zoomScaleNormal="95" workbookViewId="0">
      <pane ySplit="1" topLeftCell="A2" activePane="bottomLeft" state="frozen"/>
      <selection pane="bottomLeft" activeCell="C3" sqref="C3"/>
    </sheetView>
  </sheetViews>
  <sheetFormatPr defaultColWidth="9.109375" defaultRowHeight="16.05" customHeight="1" x14ac:dyDescent="0.3"/>
  <cols>
    <col min="1" max="1" width="5.6640625" style="86" customWidth="1"/>
    <col min="2" max="2" width="46.33203125" style="47" customWidth="1"/>
    <col min="3" max="3" width="15.6640625" style="59" customWidth="1"/>
    <col min="4" max="4" width="5.6640625" style="79" customWidth="1"/>
    <col min="5" max="5" width="32.109375" style="47" customWidth="1"/>
    <col min="6" max="6" width="15.6640625" style="59" customWidth="1"/>
    <col min="7" max="7" width="5.6640625" style="83" customWidth="1"/>
    <col min="8" max="8" width="25.33203125" style="47" customWidth="1"/>
    <col min="9" max="9" width="15.6640625" style="54" customWidth="1"/>
    <col min="10" max="10" width="5.6640625" style="86" customWidth="1"/>
    <col min="11" max="16384" width="9.109375" style="47"/>
  </cols>
  <sheetData>
    <row r="1" spans="2:10" ht="16.05" customHeight="1" x14ac:dyDescent="0.3">
      <c r="B1" s="16" t="s">
        <v>84</v>
      </c>
      <c r="C1" s="46"/>
      <c r="D1" s="72"/>
      <c r="E1" s="46"/>
      <c r="F1" s="46"/>
      <c r="G1" s="72"/>
      <c r="I1" s="4"/>
      <c r="J1" s="85" t="s">
        <v>193</v>
      </c>
    </row>
    <row r="2" spans="2:10" ht="16.05" customHeight="1" x14ac:dyDescent="0.3">
      <c r="B2" s="48" t="s">
        <v>12</v>
      </c>
      <c r="C2" s="49"/>
      <c r="D2" s="73"/>
      <c r="E2" s="48" t="s">
        <v>13</v>
      </c>
      <c r="F2" s="49"/>
      <c r="G2" s="80"/>
      <c r="H2" s="48" t="s">
        <v>71</v>
      </c>
      <c r="I2" s="49"/>
      <c r="J2" s="80"/>
    </row>
    <row r="3" spans="2:10" ht="16.05" customHeight="1" x14ac:dyDescent="0.3">
      <c r="B3" s="47" t="s">
        <v>14</v>
      </c>
      <c r="C3" s="50">
        <v>30000</v>
      </c>
      <c r="D3" s="74">
        <v>1</v>
      </c>
      <c r="E3" s="47" t="s">
        <v>15</v>
      </c>
      <c r="F3" s="50">
        <v>0</v>
      </c>
      <c r="G3" s="81">
        <v>18</v>
      </c>
      <c r="H3" s="51" t="s">
        <v>73</v>
      </c>
      <c r="I3" s="50">
        <v>0</v>
      </c>
      <c r="J3" s="81">
        <v>42</v>
      </c>
    </row>
    <row r="4" spans="2:10" ht="16.05" customHeight="1" x14ac:dyDescent="0.3">
      <c r="B4" s="47" t="s">
        <v>16</v>
      </c>
      <c r="C4" s="50">
        <v>0</v>
      </c>
      <c r="D4" s="74">
        <v>2</v>
      </c>
      <c r="E4" s="47" t="s">
        <v>17</v>
      </c>
      <c r="F4" s="50">
        <v>0</v>
      </c>
      <c r="G4" s="81">
        <v>19</v>
      </c>
      <c r="H4" s="51" t="s">
        <v>75</v>
      </c>
      <c r="I4" s="50">
        <v>0</v>
      </c>
      <c r="J4" s="81">
        <v>43</v>
      </c>
    </row>
    <row r="5" spans="2:10" ht="16.05" customHeight="1" x14ac:dyDescent="0.3">
      <c r="B5" s="47" t="s">
        <v>18</v>
      </c>
      <c r="C5" s="50">
        <v>0</v>
      </c>
      <c r="D5" s="74">
        <v>3</v>
      </c>
      <c r="E5" s="47" t="s">
        <v>19</v>
      </c>
      <c r="F5" s="50">
        <v>0</v>
      </c>
      <c r="G5" s="81">
        <v>20</v>
      </c>
      <c r="H5" s="51" t="s">
        <v>76</v>
      </c>
      <c r="I5" s="50">
        <v>0</v>
      </c>
      <c r="J5" s="81">
        <v>44</v>
      </c>
    </row>
    <row r="6" spans="2:10" ht="16.05" customHeight="1" x14ac:dyDescent="0.3">
      <c r="B6" s="47" t="s">
        <v>21</v>
      </c>
      <c r="C6" s="50">
        <v>0</v>
      </c>
      <c r="D6" s="74">
        <v>4</v>
      </c>
      <c r="E6" s="47" t="s">
        <v>22</v>
      </c>
      <c r="F6" s="50">
        <v>0</v>
      </c>
      <c r="G6" s="81">
        <v>21</v>
      </c>
      <c r="H6" s="51" t="s">
        <v>77</v>
      </c>
      <c r="I6" s="50">
        <v>0</v>
      </c>
      <c r="J6" s="81">
        <v>45</v>
      </c>
    </row>
    <row r="7" spans="2:10" ht="16.05" customHeight="1" x14ac:dyDescent="0.3">
      <c r="B7" s="47" t="s">
        <v>23</v>
      </c>
      <c r="C7" s="50">
        <v>0</v>
      </c>
      <c r="D7" s="74">
        <v>5</v>
      </c>
      <c r="E7" s="47" t="s">
        <v>24</v>
      </c>
      <c r="F7" s="50">
        <v>0</v>
      </c>
      <c r="G7" s="81">
        <v>22</v>
      </c>
      <c r="H7" s="51" t="s">
        <v>78</v>
      </c>
      <c r="I7" s="50">
        <v>0</v>
      </c>
      <c r="J7" s="81">
        <v>46</v>
      </c>
    </row>
    <row r="8" spans="2:10" ht="16.05" customHeight="1" x14ac:dyDescent="0.3">
      <c r="B8" s="48" t="s">
        <v>178</v>
      </c>
      <c r="C8" s="52">
        <f>SUM(C3:C7)</f>
        <v>30000</v>
      </c>
      <c r="D8" s="74"/>
      <c r="E8" s="47" t="s">
        <v>149</v>
      </c>
      <c r="F8" s="50">
        <v>0</v>
      </c>
      <c r="G8" s="81">
        <v>23</v>
      </c>
      <c r="H8" s="51" t="s">
        <v>79</v>
      </c>
      <c r="I8" s="50">
        <v>0</v>
      </c>
      <c r="J8" s="81">
        <v>47</v>
      </c>
    </row>
    <row r="9" spans="2:10" ht="16.05" customHeight="1" x14ac:dyDescent="0.3">
      <c r="B9" s="48" t="s">
        <v>26</v>
      </c>
      <c r="C9" s="49"/>
      <c r="D9" s="74"/>
      <c r="E9" s="47" t="s">
        <v>27</v>
      </c>
      <c r="F9" s="50">
        <v>0</v>
      </c>
      <c r="G9" s="81">
        <v>24</v>
      </c>
      <c r="H9" s="51" t="s">
        <v>80</v>
      </c>
      <c r="I9" s="50">
        <v>0</v>
      </c>
      <c r="J9" s="81">
        <v>48</v>
      </c>
    </row>
    <row r="10" spans="2:10" ht="16.05" customHeight="1" x14ac:dyDescent="0.3">
      <c r="B10" s="47" t="s">
        <v>28</v>
      </c>
      <c r="C10" s="50">
        <v>0</v>
      </c>
      <c r="D10" s="74">
        <v>6</v>
      </c>
      <c r="E10" s="47" t="s">
        <v>29</v>
      </c>
      <c r="F10" s="50">
        <v>0</v>
      </c>
      <c r="G10" s="81">
        <v>25</v>
      </c>
      <c r="H10" s="51" t="s">
        <v>23</v>
      </c>
      <c r="I10" s="50">
        <v>0</v>
      </c>
      <c r="J10" s="81">
        <v>49</v>
      </c>
    </row>
    <row r="11" spans="2:10" ht="16.05" customHeight="1" x14ac:dyDescent="0.3">
      <c r="B11" s="47" t="s">
        <v>30</v>
      </c>
      <c r="C11" s="50">
        <v>0</v>
      </c>
      <c r="D11" s="74">
        <v>7</v>
      </c>
      <c r="E11" s="47" t="s">
        <v>31</v>
      </c>
      <c r="F11" s="50">
        <v>0</v>
      </c>
      <c r="G11" s="81">
        <v>26</v>
      </c>
      <c r="H11" s="53" t="s">
        <v>81</v>
      </c>
      <c r="I11" s="52">
        <f>SUM(I3:I10)</f>
        <v>0</v>
      </c>
      <c r="J11" s="80"/>
    </row>
    <row r="12" spans="2:10" ht="16.05" customHeight="1" x14ac:dyDescent="0.3">
      <c r="B12" s="47" t="s">
        <v>32</v>
      </c>
      <c r="C12" s="50">
        <v>0</v>
      </c>
      <c r="D12" s="74">
        <v>8</v>
      </c>
      <c r="E12" s="47" t="s">
        <v>33</v>
      </c>
      <c r="F12" s="50">
        <v>0</v>
      </c>
      <c r="G12" s="81">
        <v>27</v>
      </c>
    </row>
    <row r="13" spans="2:10" ht="16.05" customHeight="1" x14ac:dyDescent="0.3">
      <c r="B13" s="47" t="s">
        <v>35</v>
      </c>
      <c r="C13" s="50">
        <v>0</v>
      </c>
      <c r="D13" s="74">
        <v>9</v>
      </c>
      <c r="E13" s="47" t="s">
        <v>36</v>
      </c>
      <c r="F13" s="50">
        <v>0</v>
      </c>
      <c r="G13" s="81">
        <v>28</v>
      </c>
    </row>
    <row r="14" spans="2:10" ht="16.05" customHeight="1" x14ac:dyDescent="0.3">
      <c r="B14" s="47" t="s">
        <v>38</v>
      </c>
      <c r="C14" s="50">
        <v>0</v>
      </c>
      <c r="D14" s="74">
        <v>10</v>
      </c>
      <c r="E14" s="47" t="s">
        <v>39</v>
      </c>
      <c r="F14" s="50">
        <v>0</v>
      </c>
      <c r="G14" s="81">
        <v>29</v>
      </c>
    </row>
    <row r="15" spans="2:10" ht="16.05" customHeight="1" x14ac:dyDescent="0.3">
      <c r="B15" s="47" t="s">
        <v>40</v>
      </c>
      <c r="C15" s="50">
        <v>0</v>
      </c>
      <c r="D15" s="74">
        <v>11</v>
      </c>
      <c r="E15" s="47" t="s">
        <v>41</v>
      </c>
      <c r="F15" s="50">
        <v>0</v>
      </c>
      <c r="G15" s="81">
        <v>30</v>
      </c>
    </row>
    <row r="16" spans="2:10" ht="16.05" customHeight="1" x14ac:dyDescent="0.3">
      <c r="B16" s="47" t="s">
        <v>43</v>
      </c>
      <c r="C16" s="50">
        <v>0</v>
      </c>
      <c r="D16" s="74">
        <v>12</v>
      </c>
      <c r="E16" s="47" t="s">
        <v>44</v>
      </c>
      <c r="F16" s="50">
        <v>0</v>
      </c>
      <c r="G16" s="81">
        <v>31</v>
      </c>
    </row>
    <row r="17" spans="1:10" ht="16.05" customHeight="1" x14ac:dyDescent="0.3">
      <c r="B17" s="48" t="s">
        <v>45</v>
      </c>
      <c r="C17" s="52">
        <f>SUM(C10:C16)</f>
        <v>0</v>
      </c>
      <c r="D17" s="74"/>
      <c r="E17" s="47" t="s">
        <v>46</v>
      </c>
      <c r="F17" s="50">
        <v>0</v>
      </c>
      <c r="G17" s="81">
        <v>32</v>
      </c>
    </row>
    <row r="18" spans="1:10" ht="16.05" customHeight="1" x14ac:dyDescent="0.3">
      <c r="B18" s="48" t="s">
        <v>48</v>
      </c>
      <c r="C18" s="52">
        <f>SUM(C8,-C17)</f>
        <v>30000</v>
      </c>
      <c r="D18" s="74">
        <v>13</v>
      </c>
      <c r="E18" s="47" t="s">
        <v>49</v>
      </c>
      <c r="F18" s="50">
        <v>0</v>
      </c>
      <c r="G18" s="81">
        <v>33</v>
      </c>
    </row>
    <row r="19" spans="1:10" ht="16.05" customHeight="1" x14ac:dyDescent="0.3">
      <c r="C19" s="49"/>
      <c r="D19" s="74"/>
      <c r="E19" s="47" t="s">
        <v>51</v>
      </c>
      <c r="F19" s="50">
        <v>0</v>
      </c>
      <c r="G19" s="81">
        <v>34</v>
      </c>
    </row>
    <row r="20" spans="1:10" s="48" customFormat="1" ht="16.05" customHeight="1" x14ac:dyDescent="0.3">
      <c r="A20" s="87"/>
      <c r="B20" s="48" t="s">
        <v>53</v>
      </c>
      <c r="C20" s="55"/>
      <c r="D20" s="75"/>
      <c r="E20" s="47" t="s">
        <v>54</v>
      </c>
      <c r="F20" s="50">
        <v>0</v>
      </c>
      <c r="G20" s="81">
        <v>35</v>
      </c>
      <c r="J20" s="87"/>
    </row>
    <row r="21" spans="1:10" ht="16.05" customHeight="1" x14ac:dyDescent="0.3">
      <c r="B21" s="47" t="s">
        <v>55</v>
      </c>
      <c r="C21" s="50">
        <v>0</v>
      </c>
      <c r="D21" s="74">
        <v>14</v>
      </c>
      <c r="E21" s="47" t="s">
        <v>56</v>
      </c>
      <c r="F21" s="50">
        <v>0</v>
      </c>
      <c r="G21" s="81">
        <v>36</v>
      </c>
    </row>
    <row r="22" spans="1:10" ht="16.05" customHeight="1" x14ac:dyDescent="0.3">
      <c r="B22" s="47" t="s">
        <v>57</v>
      </c>
      <c r="C22" s="50">
        <v>0</v>
      </c>
      <c r="D22" s="74">
        <v>15</v>
      </c>
      <c r="E22" s="47" t="s">
        <v>58</v>
      </c>
      <c r="F22" s="50">
        <v>0</v>
      </c>
      <c r="G22" s="81">
        <v>37</v>
      </c>
    </row>
    <row r="23" spans="1:10" ht="16.05" customHeight="1" x14ac:dyDescent="0.3">
      <c r="B23" s="47" t="s">
        <v>60</v>
      </c>
      <c r="C23" s="50">
        <v>0</v>
      </c>
      <c r="D23" s="74">
        <v>16</v>
      </c>
      <c r="E23" s="47" t="s">
        <v>61</v>
      </c>
      <c r="F23" s="50">
        <v>0</v>
      </c>
      <c r="G23" s="81">
        <v>38</v>
      </c>
    </row>
    <row r="24" spans="1:10" ht="16.05" customHeight="1" x14ac:dyDescent="0.3">
      <c r="B24" s="47" t="s">
        <v>63</v>
      </c>
      <c r="C24" s="50">
        <v>0</v>
      </c>
      <c r="D24" s="74">
        <v>17</v>
      </c>
      <c r="E24" s="47" t="s">
        <v>64</v>
      </c>
      <c r="F24" s="50">
        <v>0</v>
      </c>
      <c r="G24" s="81">
        <v>39</v>
      </c>
    </row>
    <row r="25" spans="1:10" ht="16.05" customHeight="1" x14ac:dyDescent="0.3">
      <c r="B25" s="48" t="s">
        <v>65</v>
      </c>
      <c r="C25" s="52">
        <f>SUM(C21:C24)</f>
        <v>0</v>
      </c>
      <c r="D25" s="74"/>
      <c r="E25" s="47" t="s">
        <v>66</v>
      </c>
      <c r="F25" s="50">
        <v>0</v>
      </c>
      <c r="G25" s="81">
        <v>40</v>
      </c>
    </row>
    <row r="26" spans="1:10" ht="16.05" customHeight="1" x14ac:dyDescent="0.3">
      <c r="C26" s="49"/>
      <c r="D26" s="73"/>
      <c r="E26" s="47" t="s">
        <v>23</v>
      </c>
      <c r="F26" s="50">
        <v>0</v>
      </c>
      <c r="G26" s="81">
        <v>41</v>
      </c>
    </row>
    <row r="27" spans="1:10" ht="16.05" customHeight="1" x14ac:dyDescent="0.3">
      <c r="C27" s="49"/>
      <c r="D27" s="73"/>
      <c r="E27" s="48" t="s">
        <v>69</v>
      </c>
      <c r="F27" s="52">
        <f>SUM(F3:F26)</f>
        <v>0</v>
      </c>
      <c r="G27" s="80"/>
    </row>
    <row r="28" spans="1:10" ht="16.05" customHeight="1" thickBot="1" x14ac:dyDescent="0.35">
      <c r="C28" s="55"/>
      <c r="D28" s="76"/>
      <c r="F28" s="49"/>
      <c r="G28" s="80"/>
    </row>
    <row r="29" spans="1:10" ht="16.05" customHeight="1" thickTop="1" x14ac:dyDescent="0.3">
      <c r="B29" s="56"/>
      <c r="C29" s="57"/>
      <c r="D29" s="77"/>
      <c r="E29" s="56"/>
      <c r="F29" s="57"/>
      <c r="G29" s="82"/>
      <c r="H29" s="56"/>
      <c r="I29" s="58"/>
      <c r="J29" s="88"/>
    </row>
    <row r="30" spans="1:10" ht="16.05" customHeight="1" x14ac:dyDescent="0.3">
      <c r="B30" s="48" t="s">
        <v>84</v>
      </c>
      <c r="C30" s="55"/>
      <c r="D30" s="73"/>
    </row>
    <row r="31" spans="1:10" ht="16.05" customHeight="1" x14ac:dyDescent="0.3">
      <c r="B31" s="47" t="s">
        <v>48</v>
      </c>
      <c r="C31" s="60">
        <f>C18</f>
        <v>30000</v>
      </c>
      <c r="D31" s="73"/>
    </row>
    <row r="32" spans="1:10" ht="16.05" customHeight="1" x14ac:dyDescent="0.3">
      <c r="B32" s="47" t="s">
        <v>87</v>
      </c>
      <c r="C32" s="60">
        <f>C25</f>
        <v>0</v>
      </c>
      <c r="D32" s="73"/>
    </row>
    <row r="33" spans="1:10" ht="16.05" customHeight="1" x14ac:dyDescent="0.3">
      <c r="B33" s="47" t="s">
        <v>88</v>
      </c>
      <c r="C33" s="60">
        <f>-F27</f>
        <v>0</v>
      </c>
      <c r="D33" s="73"/>
    </row>
    <row r="34" spans="1:10" ht="16.05" customHeight="1" x14ac:dyDescent="0.3">
      <c r="B34" s="47" t="s">
        <v>89</v>
      </c>
      <c r="C34" s="60">
        <f>-I11</f>
        <v>0</v>
      </c>
      <c r="D34" s="73"/>
    </row>
    <row r="35" spans="1:10" ht="16.05" customHeight="1" x14ac:dyDescent="0.3">
      <c r="B35" s="48" t="s">
        <v>90</v>
      </c>
      <c r="C35" s="60">
        <f>SUM(C31:C34)</f>
        <v>30000</v>
      </c>
      <c r="D35" s="73"/>
    </row>
    <row r="36" spans="1:10" ht="16.05" customHeight="1" thickBot="1" x14ac:dyDescent="0.35">
      <c r="D36" s="73"/>
    </row>
    <row r="37" spans="1:10" ht="16.05" customHeight="1" thickTop="1" x14ac:dyDescent="0.3">
      <c r="B37" s="56"/>
      <c r="C37" s="57"/>
      <c r="D37" s="77"/>
      <c r="E37" s="56"/>
      <c r="F37" s="57"/>
      <c r="G37" s="82"/>
      <c r="H37" s="56"/>
      <c r="I37" s="58"/>
      <c r="J37" s="88"/>
    </row>
    <row r="38" spans="1:10" ht="16.05" customHeight="1" x14ac:dyDescent="0.3">
      <c r="B38" s="48" t="s">
        <v>91</v>
      </c>
      <c r="D38" s="76"/>
      <c r="F38" s="49"/>
      <c r="G38" s="80"/>
    </row>
    <row r="39" spans="1:10" ht="16.05" customHeight="1" x14ac:dyDescent="0.3">
      <c r="A39" s="74">
        <v>1</v>
      </c>
      <c r="B39" s="47" t="s">
        <v>150</v>
      </c>
      <c r="D39" s="76"/>
      <c r="F39" s="49"/>
      <c r="G39" s="80"/>
    </row>
    <row r="40" spans="1:10" ht="16.05" customHeight="1" x14ac:dyDescent="0.3">
      <c r="A40" s="74">
        <v>2</v>
      </c>
      <c r="B40" s="47" t="s">
        <v>151</v>
      </c>
      <c r="D40" s="76"/>
      <c r="F40" s="49"/>
      <c r="G40" s="80"/>
    </row>
    <row r="41" spans="1:10" ht="16.05" customHeight="1" x14ac:dyDescent="0.3">
      <c r="A41" s="74">
        <v>3</v>
      </c>
      <c r="B41" s="47" t="s">
        <v>20</v>
      </c>
      <c r="D41" s="76"/>
      <c r="E41" s="48"/>
      <c r="F41" s="55"/>
      <c r="G41" s="80"/>
    </row>
    <row r="42" spans="1:10" ht="16.05" customHeight="1" x14ac:dyDescent="0.3">
      <c r="A42" s="74">
        <v>4</v>
      </c>
      <c r="B42" s="47" t="s">
        <v>152</v>
      </c>
      <c r="D42" s="73"/>
      <c r="F42" s="49"/>
      <c r="G42" s="80"/>
    </row>
    <row r="43" spans="1:10" ht="16.05" customHeight="1" x14ac:dyDescent="0.3">
      <c r="A43" s="74">
        <v>5</v>
      </c>
      <c r="B43" s="47" t="s">
        <v>25</v>
      </c>
      <c r="D43" s="73"/>
      <c r="F43" s="49"/>
      <c r="G43" s="80"/>
    </row>
    <row r="44" spans="1:10" ht="16.05" customHeight="1" x14ac:dyDescent="0.3">
      <c r="A44" s="74">
        <v>6</v>
      </c>
      <c r="B44" s="47" t="s">
        <v>153</v>
      </c>
      <c r="D44" s="73"/>
      <c r="F44" s="49"/>
      <c r="G44" s="80"/>
    </row>
    <row r="45" spans="1:10" ht="16.05" customHeight="1" x14ac:dyDescent="0.3">
      <c r="A45" s="74">
        <v>7</v>
      </c>
      <c r="B45" s="47" t="s">
        <v>154</v>
      </c>
      <c r="D45" s="73"/>
      <c r="F45" s="49"/>
      <c r="G45" s="80"/>
    </row>
    <row r="46" spans="1:10" ht="16.05" customHeight="1" x14ac:dyDescent="0.3">
      <c r="A46" s="74">
        <v>8</v>
      </c>
      <c r="B46" s="47" t="s">
        <v>155</v>
      </c>
      <c r="D46" s="73"/>
      <c r="F46" s="49"/>
      <c r="G46" s="80"/>
    </row>
    <row r="47" spans="1:10" s="61" customFormat="1" ht="16.05" customHeight="1" x14ac:dyDescent="0.3">
      <c r="A47" s="74">
        <v>9</v>
      </c>
      <c r="B47" s="47" t="s">
        <v>156</v>
      </c>
      <c r="D47" s="76"/>
      <c r="F47" s="62"/>
      <c r="G47" s="84"/>
      <c r="J47" s="89"/>
    </row>
    <row r="48" spans="1:10" s="61" customFormat="1" ht="16.05" customHeight="1" x14ac:dyDescent="0.3">
      <c r="A48" s="74">
        <v>10</v>
      </c>
      <c r="B48" s="47" t="s">
        <v>34</v>
      </c>
      <c r="D48" s="76"/>
      <c r="F48" s="62"/>
      <c r="G48" s="84"/>
      <c r="J48" s="89"/>
    </row>
    <row r="49" spans="1:10" s="61" customFormat="1" ht="16.05" customHeight="1" x14ac:dyDescent="0.3">
      <c r="A49" s="74">
        <v>11</v>
      </c>
      <c r="B49" s="47" t="s">
        <v>37</v>
      </c>
      <c r="D49" s="76"/>
      <c r="F49" s="62"/>
      <c r="G49" s="84"/>
      <c r="J49" s="89"/>
    </row>
    <row r="50" spans="1:10" ht="16.05" customHeight="1" x14ac:dyDescent="0.3">
      <c r="A50" s="74">
        <v>12</v>
      </c>
      <c r="B50" s="47" t="s">
        <v>157</v>
      </c>
      <c r="D50" s="73"/>
      <c r="F50" s="49"/>
      <c r="G50" s="80"/>
    </row>
    <row r="51" spans="1:10" ht="16.05" customHeight="1" x14ac:dyDescent="0.3">
      <c r="A51" s="74">
        <v>13</v>
      </c>
      <c r="B51" s="47" t="s">
        <v>42</v>
      </c>
      <c r="D51" s="78"/>
      <c r="E51" s="63"/>
      <c r="F51" s="63"/>
      <c r="G51" s="78"/>
    </row>
    <row r="52" spans="1:10" ht="16.05" customHeight="1" x14ac:dyDescent="0.3">
      <c r="A52" s="74">
        <v>14</v>
      </c>
      <c r="B52" s="47" t="s">
        <v>158</v>
      </c>
      <c r="D52" s="73"/>
      <c r="F52" s="49"/>
      <c r="G52" s="80"/>
    </row>
    <row r="53" spans="1:10" ht="16.05" customHeight="1" x14ac:dyDescent="0.3">
      <c r="A53" s="74">
        <v>15</v>
      </c>
      <c r="B53" s="47" t="s">
        <v>47</v>
      </c>
    </row>
    <row r="54" spans="1:10" ht="16.05" customHeight="1" x14ac:dyDescent="0.3">
      <c r="A54" s="74">
        <v>16</v>
      </c>
      <c r="B54" s="47" t="s">
        <v>50</v>
      </c>
    </row>
    <row r="55" spans="1:10" ht="16.05" customHeight="1" x14ac:dyDescent="0.3">
      <c r="A55" s="74">
        <v>17</v>
      </c>
      <c r="B55" s="47" t="s">
        <v>52</v>
      </c>
    </row>
    <row r="56" spans="1:10" ht="16.05" customHeight="1" x14ac:dyDescent="0.3">
      <c r="A56" s="74">
        <v>18</v>
      </c>
      <c r="B56" s="47" t="s">
        <v>159</v>
      </c>
    </row>
    <row r="57" spans="1:10" ht="16.05" customHeight="1" x14ac:dyDescent="0.3">
      <c r="A57" s="74">
        <v>19</v>
      </c>
      <c r="B57" s="47" t="s">
        <v>160</v>
      </c>
    </row>
    <row r="58" spans="1:10" ht="16.05" customHeight="1" x14ac:dyDescent="0.3">
      <c r="A58" s="74">
        <v>20</v>
      </c>
      <c r="B58" s="47" t="s">
        <v>59</v>
      </c>
    </row>
    <row r="59" spans="1:10" ht="16.05" customHeight="1" x14ac:dyDescent="0.3">
      <c r="A59" s="74">
        <v>21</v>
      </c>
      <c r="B59" s="47" t="s">
        <v>62</v>
      </c>
    </row>
    <row r="60" spans="1:10" ht="16.05" customHeight="1" x14ac:dyDescent="0.3">
      <c r="A60" s="74">
        <v>22</v>
      </c>
      <c r="B60" s="47" t="s">
        <v>161</v>
      </c>
    </row>
    <row r="61" spans="1:10" ht="16.05" customHeight="1" x14ac:dyDescent="0.3">
      <c r="A61" s="74">
        <v>23</v>
      </c>
      <c r="B61" s="47" t="s">
        <v>67</v>
      </c>
    </row>
    <row r="62" spans="1:10" ht="16.05" customHeight="1" x14ac:dyDescent="0.3">
      <c r="A62" s="74">
        <v>24</v>
      </c>
      <c r="B62" s="47" t="s">
        <v>68</v>
      </c>
    </row>
    <row r="63" spans="1:10" ht="16.05" customHeight="1" x14ac:dyDescent="0.3">
      <c r="A63" s="74">
        <v>25</v>
      </c>
      <c r="B63" s="47" t="s">
        <v>70</v>
      </c>
    </row>
    <row r="64" spans="1:10" ht="16.05" customHeight="1" x14ac:dyDescent="0.3">
      <c r="A64" s="74">
        <v>26</v>
      </c>
      <c r="B64" s="47" t="s">
        <v>162</v>
      </c>
    </row>
    <row r="65" spans="1:2" ht="16.05" customHeight="1" x14ac:dyDescent="0.3">
      <c r="A65" s="74">
        <v>27</v>
      </c>
      <c r="B65" s="47" t="s">
        <v>72</v>
      </c>
    </row>
    <row r="66" spans="1:2" ht="16.05" customHeight="1" x14ac:dyDescent="0.3">
      <c r="A66" s="74">
        <v>28</v>
      </c>
      <c r="B66" s="47" t="s">
        <v>74</v>
      </c>
    </row>
    <row r="67" spans="1:2" ht="16.05" customHeight="1" x14ac:dyDescent="0.3">
      <c r="A67" s="74">
        <v>29</v>
      </c>
      <c r="B67" s="47" t="s">
        <v>163</v>
      </c>
    </row>
    <row r="68" spans="1:2" ht="16.05" customHeight="1" x14ac:dyDescent="0.3">
      <c r="A68" s="74">
        <v>30</v>
      </c>
      <c r="B68" s="47" t="s">
        <v>164</v>
      </c>
    </row>
    <row r="69" spans="1:2" ht="16.05" customHeight="1" x14ac:dyDescent="0.3">
      <c r="A69" s="74">
        <v>31</v>
      </c>
      <c r="B69" s="47" t="s">
        <v>142</v>
      </c>
    </row>
    <row r="70" spans="1:2" ht="16.05" customHeight="1" x14ac:dyDescent="0.3">
      <c r="A70" s="74">
        <v>32</v>
      </c>
      <c r="B70" s="47" t="s">
        <v>143</v>
      </c>
    </row>
    <row r="71" spans="1:2" ht="16.05" customHeight="1" x14ac:dyDescent="0.3">
      <c r="A71" s="74">
        <v>33</v>
      </c>
      <c r="B71" s="47" t="s">
        <v>165</v>
      </c>
    </row>
    <row r="72" spans="1:2" ht="16.05" customHeight="1" x14ac:dyDescent="0.3">
      <c r="A72" s="74">
        <v>34</v>
      </c>
      <c r="B72" s="47" t="s">
        <v>144</v>
      </c>
    </row>
    <row r="73" spans="1:2" ht="16.05" customHeight="1" x14ac:dyDescent="0.3">
      <c r="A73" s="74">
        <v>35</v>
      </c>
      <c r="B73" s="47" t="s">
        <v>166</v>
      </c>
    </row>
    <row r="74" spans="1:2" ht="16.05" customHeight="1" x14ac:dyDescent="0.3">
      <c r="A74" s="74">
        <v>36</v>
      </c>
      <c r="B74" s="47" t="s">
        <v>82</v>
      </c>
    </row>
    <row r="75" spans="1:2" ht="16.05" customHeight="1" x14ac:dyDescent="0.3">
      <c r="A75" s="74">
        <v>37</v>
      </c>
      <c r="B75" s="47" t="s">
        <v>83</v>
      </c>
    </row>
    <row r="76" spans="1:2" ht="16.05" customHeight="1" x14ac:dyDescent="0.3">
      <c r="A76" s="74">
        <v>38</v>
      </c>
      <c r="B76" s="47" t="s">
        <v>85</v>
      </c>
    </row>
    <row r="77" spans="1:2" ht="16.05" customHeight="1" x14ac:dyDescent="0.3">
      <c r="A77" s="74">
        <v>39</v>
      </c>
      <c r="B77" s="47" t="s">
        <v>86</v>
      </c>
    </row>
    <row r="78" spans="1:2" ht="16.05" customHeight="1" x14ac:dyDescent="0.3">
      <c r="A78" s="74">
        <v>40</v>
      </c>
      <c r="B78" s="47" t="s">
        <v>167</v>
      </c>
    </row>
    <row r="79" spans="1:2" ht="16.05" customHeight="1" x14ac:dyDescent="0.3">
      <c r="A79" s="74">
        <v>41</v>
      </c>
      <c r="B79" s="47" t="s">
        <v>168</v>
      </c>
    </row>
    <row r="80" spans="1:2" ht="16.05" customHeight="1" x14ac:dyDescent="0.3">
      <c r="A80" s="74">
        <v>42</v>
      </c>
      <c r="B80" s="47" t="s">
        <v>169</v>
      </c>
    </row>
    <row r="81" spans="1:2" ht="16.05" customHeight="1" x14ac:dyDescent="0.3">
      <c r="A81" s="74">
        <v>43</v>
      </c>
      <c r="B81" s="47" t="s">
        <v>170</v>
      </c>
    </row>
    <row r="82" spans="1:2" ht="16.05" customHeight="1" x14ac:dyDescent="0.3">
      <c r="A82" s="74">
        <v>44</v>
      </c>
      <c r="B82" s="47" t="s">
        <v>171</v>
      </c>
    </row>
    <row r="83" spans="1:2" ht="16.05" customHeight="1" x14ac:dyDescent="0.3">
      <c r="A83" s="74">
        <v>45</v>
      </c>
      <c r="B83" s="47" t="s">
        <v>172</v>
      </c>
    </row>
    <row r="84" spans="1:2" ht="16.05" customHeight="1" x14ac:dyDescent="0.3">
      <c r="A84" s="74">
        <v>46</v>
      </c>
      <c r="B84" s="47" t="s">
        <v>173</v>
      </c>
    </row>
    <row r="85" spans="1:2" ht="16.05" customHeight="1" x14ac:dyDescent="0.3">
      <c r="A85" s="74">
        <v>47</v>
      </c>
      <c r="B85" s="47" t="s">
        <v>174</v>
      </c>
    </row>
    <row r="86" spans="1:2" ht="16.05" customHeight="1" x14ac:dyDescent="0.3">
      <c r="A86" s="74">
        <v>48</v>
      </c>
      <c r="B86" s="47" t="s">
        <v>175</v>
      </c>
    </row>
    <row r="87" spans="1:2" ht="16.05" customHeight="1" x14ac:dyDescent="0.3">
      <c r="A87" s="74">
        <v>49</v>
      </c>
      <c r="B87" s="51" t="s">
        <v>176</v>
      </c>
    </row>
    <row r="89" spans="1:2" ht="16.05" customHeight="1" x14ac:dyDescent="0.3">
      <c r="B89" s="64" t="s">
        <v>177</v>
      </c>
    </row>
  </sheetData>
  <sheetProtection formatCells="0" formatColumns="0" formatRows="0" insertColumns="0" insertRows="0" insertHyperlinks="0" deleteColumns="0" deleteRows="0" sort="0" autoFilter="0" pivotTables="0"/>
  <phoneticPr fontId="5" type="noConversion"/>
  <dataValidations count="1">
    <dataValidation type="decimal" operator="greaterThanOrEqual" allowBlank="1" showInputMessage="1" showErrorMessage="1" errorTitle="Invalid Input" error="All income and expenses must be entered as positive values." sqref="C3:C7 I3:I10 F3:F26 C21:C24 C10:C16" xr:uid="{00000000-0002-0000-0300-000000000000}">
      <formula1>0</formula1>
    </dataValidation>
  </dataValidations>
  <hyperlinks>
    <hyperlink ref="J1" r:id="rId1" display="www.excel-skills.com" xr:uid="{00000000-0004-0000-0300-000000000000}"/>
  </hyperlinks>
  <pageMargins left="0.74803149606299213" right="0.74803149606299213" top="0.98425196850393704" bottom="0.98425196850393704" header="0.51181102362204722" footer="0.51181102362204722"/>
  <pageSetup scale="66" fitToHeight="2" orientation="landscape" r:id="rId2"/>
  <headerFooter alignWithMargins="0">
    <oddFooter>&amp;C&amp;9Page &amp;P of &amp;N</oddFooter>
  </headerFooter>
  <rowBreaks count="1" manualBreakCount="1">
    <brk id="37" max="16383" man="1"/>
  </rowBreaks>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K33"/>
  <sheetViews>
    <sheetView zoomScale="95" workbookViewId="0">
      <pane ySplit="3" topLeftCell="A4" activePane="bottomLeft" state="frozen"/>
      <selection pane="bottomLeft" activeCell="A3" sqref="A3"/>
    </sheetView>
  </sheetViews>
  <sheetFormatPr defaultColWidth="9.109375" defaultRowHeight="16.05" customHeight="1" x14ac:dyDescent="0.25"/>
  <cols>
    <col min="1" max="1" width="14" style="44" customWidth="1"/>
    <col min="2" max="6" width="15.6640625" style="20" customWidth="1"/>
    <col min="7" max="7" width="15.6640625" style="39" customWidth="1"/>
    <col min="8" max="8" width="5.6640625" style="37" customWidth="1"/>
    <col min="9" max="9" width="15.6640625" style="38" customWidth="1"/>
    <col min="10" max="10" width="15.6640625" style="22" customWidth="1"/>
    <col min="11" max="11" width="15.6640625" style="38" customWidth="1"/>
    <col min="12" max="18" width="15.6640625" style="37" customWidth="1"/>
    <col min="19" max="16384" width="9.109375" style="37"/>
  </cols>
  <sheetData>
    <row r="1" spans="1:11" ht="16.05" customHeight="1" x14ac:dyDescent="0.25">
      <c r="A1" s="17" t="s">
        <v>118</v>
      </c>
      <c r="G1" s="4"/>
    </row>
    <row r="2" spans="1:11" ht="16.05" customHeight="1" x14ac:dyDescent="0.25">
      <c r="A2" s="25" t="s">
        <v>193</v>
      </c>
    </row>
    <row r="3" spans="1:11" s="3" customFormat="1" ht="25.8" x14ac:dyDescent="0.25">
      <c r="A3" s="40" t="s">
        <v>132</v>
      </c>
      <c r="B3" s="29" t="s">
        <v>180</v>
      </c>
      <c r="C3" s="29" t="s">
        <v>3</v>
      </c>
      <c r="D3" s="29" t="s">
        <v>182</v>
      </c>
      <c r="E3" s="29" t="s">
        <v>196</v>
      </c>
      <c r="F3" s="29" t="s">
        <v>181</v>
      </c>
      <c r="G3" s="41" t="s">
        <v>4</v>
      </c>
      <c r="I3" s="42" t="s">
        <v>133</v>
      </c>
      <c r="J3" s="43" t="s">
        <v>134</v>
      </c>
      <c r="K3" s="42" t="s">
        <v>135</v>
      </c>
    </row>
    <row r="4" spans="1:11" ht="16.05" customHeight="1" x14ac:dyDescent="0.25">
      <c r="A4" s="44">
        <v>1</v>
      </c>
      <c r="B4" s="20">
        <f>BondCalculator!$B$4</f>
        <v>2500000</v>
      </c>
      <c r="C4" s="20">
        <f>IF(B4=0,0,BondCalculator!$B$12*12)</f>
        <v>309656.517712817</v>
      </c>
      <c r="D4" s="20">
        <f ca="1">SUM(OFFSET(MonthAmort!$E$3,1,0,12,1))</f>
        <v>273198.227746399</v>
      </c>
      <c r="E4" s="20">
        <f ca="1">SUM(OFFSET(MonthAmort!$F$3,1,0,12,1))</f>
        <v>36458.289966418037</v>
      </c>
      <c r="F4" s="20">
        <f ca="1">IF(ROUND(B4-E4,2)=0,0,B4-E4)</f>
        <v>2463541.7100335821</v>
      </c>
      <c r="G4" s="39">
        <f ca="1">IF($B$4=0,0,F4/$B$4)</f>
        <v>0.98541668401343285</v>
      </c>
      <c r="I4" s="45">
        <f ca="1">SUM($D$4:D4)</f>
        <v>273198.227746399</v>
      </c>
      <c r="J4" s="22">
        <f ca="1">SUM(OFFSET(MonthAmort!$L$3,1,0,A4*12,1))</f>
        <v>271950.4816674433</v>
      </c>
      <c r="K4" s="45">
        <f ca="1">SUM($E$4:E4)</f>
        <v>36458.289966418037</v>
      </c>
    </row>
    <row r="5" spans="1:11" ht="16.05" customHeight="1" x14ac:dyDescent="0.25">
      <c r="A5" s="44">
        <v>2</v>
      </c>
      <c r="B5" s="20">
        <f ca="1">F4</f>
        <v>2463541.7100335821</v>
      </c>
      <c r="C5" s="20">
        <f ca="1">IF(B5=0,0,BondCalculator!$B$12*12)</f>
        <v>309656.517712817</v>
      </c>
      <c r="D5" s="20">
        <f ca="1">SUM(OFFSET(MonthAmort!$E$3,(12*A4)+1,0,12,1))</f>
        <v>268979.3168618175</v>
      </c>
      <c r="E5" s="20">
        <f ca="1">SUM(OFFSET(MonthAmort!$F$3,(12*A4)+1,0,12,1))</f>
        <v>40677.200850999514</v>
      </c>
      <c r="F5" s="20">
        <f t="shared" ref="F5:F33" ca="1" si="0">IF(ROUND(B5-E5,2)=0,0,B5-E5)</f>
        <v>2422864.5091825826</v>
      </c>
      <c r="G5" s="39">
        <f t="shared" ref="G5:G33" ca="1" si="1">IF($B$4=0,0,F5/$B$4)</f>
        <v>0.96914580367303305</v>
      </c>
      <c r="I5" s="45">
        <f ca="1">SUM($D$4:D5)</f>
        <v>542177.5446082165</v>
      </c>
      <c r="J5" s="22">
        <f ca="1">SUM(OFFSET(MonthAmort!$L$3,1,0,A5*12,1))</f>
        <v>536760.41265749605</v>
      </c>
      <c r="K5" s="45">
        <f ca="1">SUM($E$4:E5)</f>
        <v>77135.490817417551</v>
      </c>
    </row>
    <row r="6" spans="1:11" ht="16.05" customHeight="1" x14ac:dyDescent="0.25">
      <c r="A6" s="44">
        <v>3</v>
      </c>
      <c r="B6" s="20">
        <f t="shared" ref="B6:B33" ca="1" si="2">F5</f>
        <v>2422864.5091825826</v>
      </c>
      <c r="C6" s="20">
        <f ca="1">IF(B6=0,0,BondCalculator!$B$12*12)</f>
        <v>309656.517712817</v>
      </c>
      <c r="D6" s="20">
        <f ca="1">SUM(OFFSET(MonthAmort!$E$3,(12*A5)+1,0,12,1))</f>
        <v>264272.19851966092</v>
      </c>
      <c r="E6" s="20">
        <f ca="1">SUM(OFFSET(MonthAmort!$F$3,(12*A5)+1,0,12,1))</f>
        <v>45384.319193156101</v>
      </c>
      <c r="F6" s="20">
        <f t="shared" ca="1" si="0"/>
        <v>2377480.1899894266</v>
      </c>
      <c r="G6" s="39">
        <f t="shared" ca="1" si="1"/>
        <v>0.95099207599577062</v>
      </c>
      <c r="I6" s="45">
        <f ca="1">SUM($D$4:D6)</f>
        <v>806449.74312787736</v>
      </c>
      <c r="J6" s="22">
        <f ca="1">SUM(OFFSET(MonthAmort!$L$3,1,0,A6*12,1))</f>
        <v>793603.49675597763</v>
      </c>
      <c r="K6" s="45">
        <f ca="1">SUM($E$4:E6)</f>
        <v>122519.81001057365</v>
      </c>
    </row>
    <row r="7" spans="1:11" ht="16.05" customHeight="1" x14ac:dyDescent="0.25">
      <c r="A7" s="44">
        <v>4</v>
      </c>
      <c r="B7" s="20">
        <f t="shared" ca="1" si="2"/>
        <v>2377480.1899894266</v>
      </c>
      <c r="C7" s="20">
        <f ca="1">IF(B7=0,0,BondCalculator!$B$12*12)</f>
        <v>309656.517712817</v>
      </c>
      <c r="D7" s="20">
        <f ca="1">SUM(OFFSET(MonthAmort!$E$3,(12*A6)+1,0,12,1))</f>
        <v>259020.37792111683</v>
      </c>
      <c r="E7" s="20">
        <f ca="1">SUM(OFFSET(MonthAmort!$F$3,(12*A6)+1,0,12,1))</f>
        <v>50636.139791700181</v>
      </c>
      <c r="F7" s="20">
        <f t="shared" ca="1" si="0"/>
        <v>2326844.0501977266</v>
      </c>
      <c r="G7" s="39">
        <f t="shared" ca="1" si="1"/>
        <v>0.93073762007909067</v>
      </c>
      <c r="I7" s="45">
        <f ca="1">SUM($D$4:D7)</f>
        <v>1065470.1210489941</v>
      </c>
      <c r="J7" s="22">
        <f ca="1">SUM(OFFSET(MonthAmort!$L$3,1,0,A7*12,1))</f>
        <v>1041557.81971245</v>
      </c>
      <c r="K7" s="45">
        <f ca="1">SUM($E$4:E7)</f>
        <v>173155.94980227383</v>
      </c>
    </row>
    <row r="8" spans="1:11" ht="16.05" customHeight="1" x14ac:dyDescent="0.25">
      <c r="A8" s="44">
        <v>5</v>
      </c>
      <c r="B8" s="20">
        <f t="shared" ca="1" si="2"/>
        <v>2326844.0501977266</v>
      </c>
      <c r="C8" s="20">
        <f ca="1">IF(B8=0,0,BondCalculator!$B$12*12)</f>
        <v>309656.517712817</v>
      </c>
      <c r="D8" s="20">
        <f ca="1">SUM(OFFSET(MonthAmort!$E$3,(12*A7)+1,0,12,1))</f>
        <v>253160.82275500317</v>
      </c>
      <c r="E8" s="20">
        <f ca="1">SUM(OFFSET(MonthAmort!$F$3,(12*A7)+1,0,12,1))</f>
        <v>56495.694957813845</v>
      </c>
      <c r="F8" s="20">
        <f t="shared" ca="1" si="0"/>
        <v>2270348.3552399129</v>
      </c>
      <c r="G8" s="39">
        <f t="shared" ca="1" si="1"/>
        <v>0.90813934209596514</v>
      </c>
      <c r="I8" s="45">
        <f ca="1">SUM($D$4:D8)</f>
        <v>1318630.9438039972</v>
      </c>
      <c r="J8" s="22">
        <f ca="1">SUM(OFFSET(MonthAmort!$L$3,1,0,A8*12,1))</f>
        <v>1279594.7844323427</v>
      </c>
      <c r="K8" s="45">
        <f ca="1">SUM($E$4:E8)</f>
        <v>229651.64476008766</v>
      </c>
    </row>
    <row r="9" spans="1:11" ht="16.05" customHeight="1" x14ac:dyDescent="0.25">
      <c r="A9" s="44">
        <v>6</v>
      </c>
      <c r="B9" s="20">
        <f t="shared" ca="1" si="2"/>
        <v>2270348.3552399129</v>
      </c>
      <c r="C9" s="20">
        <f ca="1">IF(B9=0,0,BondCalculator!$B$12*12)</f>
        <v>309656.517712817</v>
      </c>
      <c r="D9" s="20">
        <f ca="1">SUM(OFFSET(MonthAmort!$E$3,(12*A8)+1,0,12,1))</f>
        <v>246623.20668444523</v>
      </c>
      <c r="E9" s="20">
        <f ca="1">SUM(OFFSET(MonthAmort!$F$3,(12*A8)+1,0,12,1))</f>
        <v>63033.311028371761</v>
      </c>
      <c r="F9" s="20">
        <f t="shared" ca="1" si="0"/>
        <v>2207315.0442115413</v>
      </c>
      <c r="G9" s="39">
        <f t="shared" ca="1" si="1"/>
        <v>0.88292601768461654</v>
      </c>
      <c r="I9" s="45">
        <f ca="1">SUM($D$4:D9)</f>
        <v>1565254.1504884425</v>
      </c>
      <c r="J9" s="22">
        <f ca="1">SUM(OFFSET(MonthAmort!$L$3,1,0,A9*12,1))</f>
        <v>1506566.7657623875</v>
      </c>
      <c r="K9" s="45">
        <f ca="1">SUM($E$4:E9)</f>
        <v>292684.9557884594</v>
      </c>
    </row>
    <row r="10" spans="1:11" ht="16.05" customHeight="1" x14ac:dyDescent="0.25">
      <c r="A10" s="44">
        <v>7</v>
      </c>
      <c r="B10" s="20">
        <f t="shared" ca="1" si="2"/>
        <v>2207315.0442115413</v>
      </c>
      <c r="C10" s="20">
        <f ca="1">IF(B10=0,0,BondCalculator!$B$12*12)</f>
        <v>309656.517712817</v>
      </c>
      <c r="D10" s="20">
        <f ca="1">SUM(OFFSET(MonthAmort!$E$3,(12*A9)+1,0,12,1))</f>
        <v>239329.06529071115</v>
      </c>
      <c r="E10" s="20">
        <f ca="1">SUM(OFFSET(MonthAmort!$F$3,(12*A9)+1,0,12,1))</f>
        <v>70327.452422105853</v>
      </c>
      <c r="F10" s="20">
        <f t="shared" ca="1" si="0"/>
        <v>2136987.5917894356</v>
      </c>
      <c r="G10" s="39">
        <f t="shared" ca="1" si="1"/>
        <v>0.85479503671577428</v>
      </c>
      <c r="I10" s="45">
        <f ca="1">SUM($D$4:D10)</f>
        <v>1804583.2157791536</v>
      </c>
      <c r="J10" s="22">
        <f ca="1">SUM(OFFSET(MonthAmort!$L$3,1,0,A10*12,1))</f>
        <v>1721193.3367021929</v>
      </c>
      <c r="K10" s="45">
        <f ca="1">SUM($E$4:E10)</f>
        <v>363012.40821056522</v>
      </c>
    </row>
    <row r="11" spans="1:11" ht="16.05" customHeight="1" x14ac:dyDescent="0.25">
      <c r="A11" s="44">
        <v>8</v>
      </c>
      <c r="B11" s="20">
        <f t="shared" ca="1" si="2"/>
        <v>2136987.5917894356</v>
      </c>
      <c r="C11" s="20">
        <f ca="1">IF(B11=0,0,BondCalculator!$B$12*12)</f>
        <v>309656.517712817</v>
      </c>
      <c r="D11" s="20">
        <f ca="1">SUM(OFFSET(MonthAmort!$E$3,(12*A10)+1,0,12,1))</f>
        <v>231190.85434385078</v>
      </c>
      <c r="E11" s="20">
        <f ca="1">SUM(OFFSET(MonthAmort!$F$3,(12*A10)+1,0,12,1))</f>
        <v>78465.663368966227</v>
      </c>
      <c r="F11" s="20">
        <f t="shared" ca="1" si="0"/>
        <v>2058521.9284204694</v>
      </c>
      <c r="G11" s="39">
        <f t="shared" ca="1" si="1"/>
        <v>0.8234087713681878</v>
      </c>
      <c r="I11" s="45">
        <f ca="1">SUM($D$4:D11)</f>
        <v>2035774.0701230045</v>
      </c>
      <c r="J11" s="22">
        <f ca="1">SUM(OFFSET(MonthAmort!$L$3,1,0,A11*12,1))</f>
        <v>1922045.9007290464</v>
      </c>
      <c r="K11" s="45">
        <f ca="1">SUM($E$4:E11)</f>
        <v>441478.07157953142</v>
      </c>
    </row>
    <row r="12" spans="1:11" ht="16.05" customHeight="1" x14ac:dyDescent="0.25">
      <c r="A12" s="44">
        <v>9</v>
      </c>
      <c r="B12" s="20">
        <f t="shared" ca="1" si="2"/>
        <v>2058521.9284204694</v>
      </c>
      <c r="C12" s="20">
        <f ca="1">IF(B12=0,0,BondCalculator!$B$12*12)</f>
        <v>309656.517712817</v>
      </c>
      <c r="D12" s="20">
        <f ca="1">SUM(OFFSET(MonthAmort!$E$3,(12*A11)+1,0,12,1))</f>
        <v>222110.89909750863</v>
      </c>
      <c r="E12" s="20">
        <f ca="1">SUM(OFFSET(MonthAmort!$F$3,(12*A11)+1,0,12,1))</f>
        <v>87545.618615308369</v>
      </c>
      <c r="F12" s="20">
        <f t="shared" ca="1" si="0"/>
        <v>1970976.3098051611</v>
      </c>
      <c r="G12" s="39">
        <f t="shared" ca="1" si="1"/>
        <v>0.78839052392206443</v>
      </c>
      <c r="I12" s="45">
        <f ca="1">SUM($D$4:D12)</f>
        <v>2257884.969220513</v>
      </c>
      <c r="J12" s="22">
        <f ca="1">SUM(OFFSET(MonthAmort!$L$3,1,0,A12*12,1))</f>
        <v>2107530.5457932372</v>
      </c>
      <c r="K12" s="45">
        <f ca="1">SUM($E$4:E12)</f>
        <v>529023.69019483984</v>
      </c>
    </row>
    <row r="13" spans="1:11" ht="16.05" customHeight="1" x14ac:dyDescent="0.25">
      <c r="A13" s="44">
        <v>10</v>
      </c>
      <c r="B13" s="20">
        <f t="shared" ca="1" si="2"/>
        <v>1970976.3098051611</v>
      </c>
      <c r="C13" s="20">
        <f ca="1">IF(B13=0,0,BondCalculator!$B$12*12)</f>
        <v>309656.517712817</v>
      </c>
      <c r="D13" s="20">
        <f ca="1">SUM(OFFSET(MonthAmort!$E$3,(12*A12)+1,0,12,1))</f>
        <v>211980.2219973552</v>
      </c>
      <c r="E13" s="20">
        <f ca="1">SUM(OFFSET(MonthAmort!$F$3,(12*A12)+1,0,12,1))</f>
        <v>97676.295715461834</v>
      </c>
      <c r="F13" s="20">
        <f t="shared" ca="1" si="0"/>
        <v>1873300.0140896994</v>
      </c>
      <c r="G13" s="39">
        <f t="shared" ca="1" si="1"/>
        <v>0.74932000563587975</v>
      </c>
      <c r="I13" s="45">
        <f ca="1">SUM($D$4:D13)</f>
        <v>2469865.1912178681</v>
      </c>
      <c r="J13" s="22">
        <f ca="1">SUM(OFFSET(MonthAmort!$L$3,1,0,A13*12,1))</f>
        <v>2275868.9141976633</v>
      </c>
      <c r="K13" s="45">
        <f ca="1">SUM($E$4:E13)</f>
        <v>626699.98591030168</v>
      </c>
    </row>
    <row r="14" spans="1:11" ht="16.05" customHeight="1" x14ac:dyDescent="0.25">
      <c r="A14" s="44">
        <v>11</v>
      </c>
      <c r="B14" s="20">
        <f t="shared" ca="1" si="2"/>
        <v>1873300.0140896994</v>
      </c>
      <c r="C14" s="20">
        <f ca="1">IF(B14=0,0,BondCalculator!$B$12*12)</f>
        <v>309656.517712817</v>
      </c>
      <c r="D14" s="20">
        <f ca="1">SUM(OFFSET(MonthAmort!$E$3,(12*A13)+1,0,12,1))</f>
        <v>200677.23473330247</v>
      </c>
      <c r="E14" s="20">
        <f ca="1">SUM(OFFSET(MonthAmort!$F$3,(12*A13)+1,0,12,1))</f>
        <v>108979.28297951457</v>
      </c>
      <c r="F14" s="20">
        <f t="shared" ca="1" si="0"/>
        <v>1764320.7311101849</v>
      </c>
      <c r="G14" s="39">
        <f t="shared" ca="1" si="1"/>
        <v>0.70572829244407398</v>
      </c>
      <c r="I14" s="45">
        <f ca="1">SUM($D$4:D14)</f>
        <v>2670542.4259511707</v>
      </c>
      <c r="J14" s="22">
        <f ca="1">SUM(OFFSET(MonthAmort!$L$3,1,0,A14*12,1))</f>
        <v>2425076.8587621767</v>
      </c>
      <c r="K14" s="45">
        <f ca="1">SUM($E$4:E14)</f>
        <v>735679.26888981625</v>
      </c>
    </row>
    <row r="15" spans="1:11" ht="16.05" customHeight="1" x14ac:dyDescent="0.25">
      <c r="A15" s="44">
        <v>12</v>
      </c>
      <c r="B15" s="20">
        <f t="shared" ca="1" si="2"/>
        <v>1764320.7311101849</v>
      </c>
      <c r="C15" s="20">
        <f ca="1">IF(B15=0,0,BondCalculator!$B$12*12)</f>
        <v>309656.517712817</v>
      </c>
      <c r="D15" s="20">
        <f ca="1">SUM(OFFSET(MonthAmort!$E$3,(12*A14)+1,0,12,1))</f>
        <v>188066.27893752424</v>
      </c>
      <c r="E15" s="20">
        <f ca="1">SUM(OFFSET(MonthAmort!$F$3,(12*A14)+1,0,12,1))</f>
        <v>121590.23877529279</v>
      </c>
      <c r="F15" s="20">
        <f t="shared" ca="1" si="0"/>
        <v>1642730.492334892</v>
      </c>
      <c r="G15" s="39">
        <f t="shared" ca="1" si="1"/>
        <v>0.65709219693395682</v>
      </c>
      <c r="I15" s="45">
        <f ca="1">SUM($D$4:D15)</f>
        <v>2858608.7048886949</v>
      </c>
      <c r="J15" s="22">
        <f ca="1">SUM(OFFSET(MonthAmort!$L$3,1,0,A15*12,1))</f>
        <v>2552940.6291041006</v>
      </c>
      <c r="K15" s="45">
        <f ca="1">SUM($E$4:E15)</f>
        <v>857269.50766510901</v>
      </c>
    </row>
    <row r="16" spans="1:11" ht="16.05" customHeight="1" x14ac:dyDescent="0.25">
      <c r="A16" s="44">
        <v>13</v>
      </c>
      <c r="B16" s="20">
        <f t="shared" ca="1" si="2"/>
        <v>1642730.492334892</v>
      </c>
      <c r="C16" s="20">
        <f ca="1">IF(B16=0,0,BondCalculator!$B$12*12)</f>
        <v>309656.517712817</v>
      </c>
      <c r="D16" s="20">
        <f ca="1">SUM(OFFSET(MonthAmort!$E$3,(12*A15)+1,0,12,1))</f>
        <v>173995.99801374925</v>
      </c>
      <c r="E16" s="20">
        <f ca="1">SUM(OFFSET(MonthAmort!$F$3,(12*A15)+1,0,12,1))</f>
        <v>135660.51969906772</v>
      </c>
      <c r="F16" s="20">
        <f t="shared" ca="1" si="0"/>
        <v>1507069.9726358242</v>
      </c>
      <c r="G16" s="39">
        <f t="shared" ca="1" si="1"/>
        <v>0.60282798905432966</v>
      </c>
      <c r="I16" s="45">
        <f ca="1">SUM($D$4:D16)</f>
        <v>3032604.7029024442</v>
      </c>
      <c r="J16" s="22">
        <f ca="1">SUM(OFFSET(MonthAmort!$L$3,1,0,A16*12,1))</f>
        <v>2656990.3022228484</v>
      </c>
      <c r="K16" s="45">
        <f ca="1">SUM($E$4:E16)</f>
        <v>992930.0273641767</v>
      </c>
    </row>
    <row r="17" spans="1:11" ht="16.05" customHeight="1" x14ac:dyDescent="0.25">
      <c r="A17" s="44">
        <v>14</v>
      </c>
      <c r="B17" s="20">
        <f t="shared" ca="1" si="2"/>
        <v>1507069.9726358242</v>
      </c>
      <c r="C17" s="20">
        <f ca="1">IF(B17=0,0,BondCalculator!$B$12*12)</f>
        <v>309656.517712817</v>
      </c>
      <c r="D17" s="20">
        <f ca="1">SUM(OFFSET(MonthAmort!$E$3,(12*A16)+1,0,12,1))</f>
        <v>158297.52055653528</v>
      </c>
      <c r="E17" s="20">
        <f ca="1">SUM(OFFSET(MonthAmort!$F$3,(12*A16)+1,0,12,1))</f>
        <v>151358.99715628172</v>
      </c>
      <c r="F17" s="20">
        <f t="shared" ca="1" si="0"/>
        <v>1355710.9754795425</v>
      </c>
      <c r="G17" s="39">
        <f t="shared" ca="1" si="1"/>
        <v>0.54228439019181696</v>
      </c>
      <c r="I17" s="45">
        <f ca="1">SUM($D$4:D17)</f>
        <v>3190902.2234589793</v>
      </c>
      <c r="J17" s="22">
        <f ca="1">SUM(OFFSET(MonthAmort!$L$3,1,0,A17*12,1))</f>
        <v>2734470.1385027166</v>
      </c>
      <c r="K17" s="45">
        <f ca="1">SUM($E$4:E17)</f>
        <v>1144289.0245204584</v>
      </c>
    </row>
    <row r="18" spans="1:11" ht="16.05" customHeight="1" x14ac:dyDescent="0.25">
      <c r="A18" s="44">
        <v>15</v>
      </c>
      <c r="B18" s="20">
        <f t="shared" ca="1" si="2"/>
        <v>1355710.9754795425</v>
      </c>
      <c r="C18" s="20">
        <f ca="1">IF(B18=0,0,BondCalculator!$B$12*12)</f>
        <v>309656.517712817</v>
      </c>
      <c r="D18" s="20">
        <f ca="1">SUM(OFFSET(MonthAmort!$E$3,(12*A17)+1,0,12,1))</f>
        <v>140782.43355793582</v>
      </c>
      <c r="E18" s="20">
        <f ca="1">SUM(OFFSET(MonthAmort!$F$3,(12*A17)+1,0,12,1))</f>
        <v>168874.08415488119</v>
      </c>
      <c r="F18" s="20">
        <f t="shared" ca="1" si="0"/>
        <v>1186836.8913246612</v>
      </c>
      <c r="G18" s="39">
        <f t="shared" ca="1" si="1"/>
        <v>0.47473475652986447</v>
      </c>
      <c r="I18" s="45">
        <f ca="1">SUM($D$4:D18)</f>
        <v>3331684.6570169153</v>
      </c>
      <c r="J18" s="22">
        <f ca="1">SUM(OFFSET(MonthAmort!$L$3,1,0,A18*12,1))</f>
        <v>2782305.5073468108</v>
      </c>
      <c r="K18" s="45">
        <f ca="1">SUM($E$4:E18)</f>
        <v>1313163.1086753397</v>
      </c>
    </row>
    <row r="19" spans="1:11" ht="16.05" customHeight="1" x14ac:dyDescent="0.25">
      <c r="A19" s="44">
        <v>16</v>
      </c>
      <c r="B19" s="20">
        <f t="shared" ca="1" si="2"/>
        <v>1186836.8913246612</v>
      </c>
      <c r="C19" s="20">
        <f ca="1">IF(B19=0,0,BondCalculator!$B$12*12)</f>
        <v>309656.517712817</v>
      </c>
      <c r="D19" s="20">
        <f ca="1">SUM(OFFSET(MonthAmort!$E$3,(12*A18)+1,0,12,1))</f>
        <v>121240.52107600044</v>
      </c>
      <c r="E19" s="20">
        <f ca="1">SUM(OFFSET(MonthAmort!$F$3,(12*A18)+1,0,12,1))</f>
        <v>188415.99663681659</v>
      </c>
      <c r="F19" s="20">
        <f t="shared" ca="1" si="0"/>
        <v>998420.89468784467</v>
      </c>
      <c r="G19" s="39">
        <f t="shared" ca="1" si="1"/>
        <v>0.39936835787513786</v>
      </c>
      <c r="I19" s="45">
        <f ca="1">SUM($D$4:D19)</f>
        <v>3452925.1780929156</v>
      </c>
      <c r="J19" s="22">
        <f ca="1">SUM(OFFSET(MonthAmort!$L$3,1,0,A19*12,1))</f>
        <v>2797189.8248473643</v>
      </c>
      <c r="K19" s="45">
        <f ca="1">SUM($E$4:E19)</f>
        <v>1501579.1053121563</v>
      </c>
    </row>
    <row r="20" spans="1:11" ht="16.05" customHeight="1" x14ac:dyDescent="0.25">
      <c r="A20" s="44">
        <v>17</v>
      </c>
      <c r="B20" s="20">
        <f t="shared" ca="1" si="2"/>
        <v>998420.89468784467</v>
      </c>
      <c r="C20" s="20">
        <f ca="1">IF(B20=0,0,BondCalculator!$B$12*12)</f>
        <v>309656.517712817</v>
      </c>
      <c r="D20" s="20">
        <f ca="1">SUM(OFFSET(MonthAmort!$E$3,(12*A19)+1,0,12,1))</f>
        <v>99437.241224626763</v>
      </c>
      <c r="E20" s="20">
        <f ca="1">SUM(OFFSET(MonthAmort!$F$3,(12*A19)+1,0,12,1))</f>
        <v>210219.27648819023</v>
      </c>
      <c r="F20" s="20">
        <f t="shared" ca="1" si="0"/>
        <v>788201.61819965439</v>
      </c>
      <c r="G20" s="39">
        <f t="shared" ca="1" si="1"/>
        <v>0.31528064727986177</v>
      </c>
      <c r="I20" s="45">
        <f ca="1">SUM($D$4:D20)</f>
        <v>3552362.4193175421</v>
      </c>
      <c r="J20" s="22">
        <f ca="1">SUM(OFFSET(MonthAmort!$L$3,1,0,A20*12,1))</f>
        <v>2797189.8248473643</v>
      </c>
      <c r="K20" s="45">
        <f ca="1">SUM($E$4:E20)</f>
        <v>1711798.3818003465</v>
      </c>
    </row>
    <row r="21" spans="1:11" ht="16.05" customHeight="1" x14ac:dyDescent="0.25">
      <c r="A21" s="44">
        <v>18</v>
      </c>
      <c r="B21" s="20">
        <f t="shared" ca="1" si="2"/>
        <v>788201.61819965439</v>
      </c>
      <c r="C21" s="20">
        <f ca="1">IF(B21=0,0,BondCalculator!$B$12*12)</f>
        <v>309656.517712817</v>
      </c>
      <c r="D21" s="20">
        <f ca="1">SUM(OFFSET(MonthAmort!$E$3,(12*A20)+1,0,12,1))</f>
        <v>75110.911203613548</v>
      </c>
      <c r="E21" s="20">
        <f ca="1">SUM(OFFSET(MonthAmort!$F$3,(12*A20)+1,0,12,1))</f>
        <v>234545.60650920347</v>
      </c>
      <c r="F21" s="20">
        <f t="shared" ca="1" si="0"/>
        <v>553656.01169045095</v>
      </c>
      <c r="G21" s="39">
        <f t="shared" ca="1" si="1"/>
        <v>0.22146240467618039</v>
      </c>
      <c r="I21" s="45">
        <f ca="1">SUM($D$4:D21)</f>
        <v>3627473.3305211556</v>
      </c>
      <c r="J21" s="22">
        <f ca="1">SUM(OFFSET(MonthAmort!$L$3,1,0,A21*12,1))</f>
        <v>2797189.8248473643</v>
      </c>
      <c r="K21" s="45">
        <f ca="1">SUM($E$4:E21)</f>
        <v>1946343.9883095501</v>
      </c>
    </row>
    <row r="22" spans="1:11" ht="16.05" customHeight="1" x14ac:dyDescent="0.25">
      <c r="A22" s="44">
        <v>19</v>
      </c>
      <c r="B22" s="20">
        <f t="shared" ca="1" si="2"/>
        <v>553656.01169045095</v>
      </c>
      <c r="C22" s="20">
        <f ca="1">IF(B22=0,0,BondCalculator!$B$12*12)</f>
        <v>309656.517712817</v>
      </c>
      <c r="D22" s="20">
        <f ca="1">SUM(OFFSET(MonthAmort!$E$3,(12*A21)+1,0,12,1))</f>
        <v>47969.566583668042</v>
      </c>
      <c r="E22" s="20">
        <f ca="1">SUM(OFFSET(MonthAmort!$F$3,(12*A21)+1,0,12,1))</f>
        <v>261686.95112914901</v>
      </c>
      <c r="F22" s="20">
        <f t="shared" ca="1" si="0"/>
        <v>291969.06056130194</v>
      </c>
      <c r="G22" s="39">
        <f t="shared" ca="1" si="1"/>
        <v>0.11678762422452078</v>
      </c>
      <c r="I22" s="45">
        <f ca="1">SUM($D$4:D22)</f>
        <v>3675442.8971048235</v>
      </c>
      <c r="J22" s="22">
        <f ca="1">SUM(OFFSET(MonthAmort!$L$3,1,0,A22*12,1))</f>
        <v>2797189.8248473643</v>
      </c>
      <c r="K22" s="45">
        <f ca="1">SUM($E$4:E22)</f>
        <v>2208030.9394386993</v>
      </c>
    </row>
    <row r="23" spans="1:11" ht="16.05" customHeight="1" x14ac:dyDescent="0.25">
      <c r="A23" s="44">
        <v>20</v>
      </c>
      <c r="B23" s="20">
        <f t="shared" ca="1" si="2"/>
        <v>291969.06056130194</v>
      </c>
      <c r="C23" s="20">
        <f ca="1">IF(B23=0,0,BondCalculator!$B$12*12)</f>
        <v>309656.517712817</v>
      </c>
      <c r="D23" s="20">
        <f ca="1">SUM(OFFSET(MonthAmort!$E$3,(12*A22)+1,0,12,1))</f>
        <v>17687.457151529215</v>
      </c>
      <c r="E23" s="20">
        <f ca="1">SUM(OFFSET(MonthAmort!$F$3,(12*A22)+1,0,12,1))</f>
        <v>291969.06056130421</v>
      </c>
      <c r="F23" s="20">
        <f t="shared" ca="1" si="0"/>
        <v>0</v>
      </c>
      <c r="G23" s="39">
        <f t="shared" ca="1" si="1"/>
        <v>0</v>
      </c>
      <c r="I23" s="45">
        <f ca="1">SUM($D$4:D23)</f>
        <v>3693130.3542563529</v>
      </c>
      <c r="J23" s="22">
        <f ca="1">SUM(OFFSET(MonthAmort!$L$3,1,0,A23*12,1))</f>
        <v>2797189.8248473643</v>
      </c>
      <c r="K23" s="45">
        <f ca="1">SUM($E$4:E23)</f>
        <v>2500000.0000000037</v>
      </c>
    </row>
    <row r="24" spans="1:11" ht="16.05" customHeight="1" x14ac:dyDescent="0.25">
      <c r="A24" s="44">
        <v>21</v>
      </c>
      <c r="B24" s="20">
        <f t="shared" ca="1" si="2"/>
        <v>0</v>
      </c>
      <c r="C24" s="20">
        <f ca="1">IF(B24=0,0,BondCalculator!$B$12*12)</f>
        <v>0</v>
      </c>
      <c r="D24" s="20">
        <f ca="1">SUM(OFFSET(MonthAmort!$E$3,(12*A23)+1,0,12,1))</f>
        <v>0</v>
      </c>
      <c r="E24" s="20">
        <f ca="1">SUM(OFFSET(MonthAmort!$F$3,(12*A23)+1,0,12,1))</f>
        <v>0</v>
      </c>
      <c r="F24" s="20">
        <f t="shared" ca="1" si="0"/>
        <v>0</v>
      </c>
      <c r="G24" s="39">
        <f t="shared" ca="1" si="1"/>
        <v>0</v>
      </c>
      <c r="I24" s="45">
        <f ca="1">SUM($D$4:D24)</f>
        <v>3693130.3542563529</v>
      </c>
      <c r="J24" s="22">
        <f ca="1">SUM(OFFSET(MonthAmort!$L$3,1,0,A24*12,1))</f>
        <v>2797189.8248473643</v>
      </c>
      <c r="K24" s="45">
        <f ca="1">SUM($E$4:E24)</f>
        <v>2500000.0000000037</v>
      </c>
    </row>
    <row r="25" spans="1:11" ht="16.05" customHeight="1" x14ac:dyDescent="0.25">
      <c r="A25" s="44">
        <v>22</v>
      </c>
      <c r="B25" s="20">
        <f t="shared" ca="1" si="2"/>
        <v>0</v>
      </c>
      <c r="C25" s="20">
        <f ca="1">IF(B25=0,0,BondCalculator!$B$12*12)</f>
        <v>0</v>
      </c>
      <c r="D25" s="20">
        <f ca="1">SUM(OFFSET(MonthAmort!$E$3,(12*A24)+1,0,12,1))</f>
        <v>0</v>
      </c>
      <c r="E25" s="20">
        <f ca="1">SUM(OFFSET(MonthAmort!$F$3,(12*A24)+1,0,12,1))</f>
        <v>0</v>
      </c>
      <c r="F25" s="20">
        <f t="shared" ca="1" si="0"/>
        <v>0</v>
      </c>
      <c r="G25" s="39">
        <f t="shared" ca="1" si="1"/>
        <v>0</v>
      </c>
      <c r="I25" s="45">
        <f ca="1">SUM($D$4:D25)</f>
        <v>3693130.3542563529</v>
      </c>
      <c r="J25" s="22">
        <f ca="1">SUM(OFFSET(MonthAmort!$L$3,1,0,A25*12,1))</f>
        <v>2797189.8248473643</v>
      </c>
      <c r="K25" s="45">
        <f ca="1">SUM($E$4:E25)</f>
        <v>2500000.0000000037</v>
      </c>
    </row>
    <row r="26" spans="1:11" ht="16.05" customHeight="1" x14ac:dyDescent="0.25">
      <c r="A26" s="44">
        <v>23</v>
      </c>
      <c r="B26" s="20">
        <f t="shared" ca="1" si="2"/>
        <v>0</v>
      </c>
      <c r="C26" s="20">
        <f ca="1">IF(B26=0,0,BondCalculator!$B$12*12)</f>
        <v>0</v>
      </c>
      <c r="D26" s="20">
        <f ca="1">SUM(OFFSET(MonthAmort!$E$3,(12*A25)+1,0,12,1))</f>
        <v>0</v>
      </c>
      <c r="E26" s="20">
        <f ca="1">SUM(OFFSET(MonthAmort!$F$3,(12*A25)+1,0,12,1))</f>
        <v>0</v>
      </c>
      <c r="F26" s="20">
        <f t="shared" ca="1" si="0"/>
        <v>0</v>
      </c>
      <c r="G26" s="39">
        <f t="shared" ca="1" si="1"/>
        <v>0</v>
      </c>
      <c r="I26" s="45">
        <f ca="1">SUM($D$4:D26)</f>
        <v>3693130.3542563529</v>
      </c>
      <c r="J26" s="22">
        <f ca="1">SUM(OFFSET(MonthAmort!$L$3,1,0,A26*12,1))</f>
        <v>2797189.8248473643</v>
      </c>
      <c r="K26" s="45">
        <f ca="1">SUM($E$4:E26)</f>
        <v>2500000.0000000037</v>
      </c>
    </row>
    <row r="27" spans="1:11" ht="16.05" customHeight="1" x14ac:dyDescent="0.25">
      <c r="A27" s="44">
        <v>24</v>
      </c>
      <c r="B27" s="20">
        <f t="shared" ca="1" si="2"/>
        <v>0</v>
      </c>
      <c r="C27" s="20">
        <f ca="1">IF(B27=0,0,BondCalculator!$B$12*12)</f>
        <v>0</v>
      </c>
      <c r="D27" s="20">
        <f ca="1">SUM(OFFSET(MonthAmort!$E$3,(12*A26)+1,0,12,1))</f>
        <v>0</v>
      </c>
      <c r="E27" s="20">
        <f ca="1">SUM(OFFSET(MonthAmort!$F$3,(12*A26)+1,0,12,1))</f>
        <v>0</v>
      </c>
      <c r="F27" s="20">
        <f t="shared" ca="1" si="0"/>
        <v>0</v>
      </c>
      <c r="G27" s="39">
        <f t="shared" ca="1" si="1"/>
        <v>0</v>
      </c>
      <c r="I27" s="45">
        <f ca="1">SUM($D$4:D27)</f>
        <v>3693130.3542563529</v>
      </c>
      <c r="J27" s="22">
        <f ca="1">SUM(OFFSET(MonthAmort!$L$3,1,0,A27*12,1))</f>
        <v>2797189.8248473643</v>
      </c>
      <c r="K27" s="45">
        <f ca="1">SUM($E$4:E27)</f>
        <v>2500000.0000000037</v>
      </c>
    </row>
    <row r="28" spans="1:11" ht="16.05" customHeight="1" x14ac:dyDescent="0.25">
      <c r="A28" s="44">
        <v>25</v>
      </c>
      <c r="B28" s="20">
        <f t="shared" ca="1" si="2"/>
        <v>0</v>
      </c>
      <c r="C28" s="20">
        <f ca="1">IF(B28=0,0,BondCalculator!$B$12*12)</f>
        <v>0</v>
      </c>
      <c r="D28" s="20">
        <f ca="1">SUM(OFFSET(MonthAmort!$E$3,(12*A27)+1,0,12,1))</f>
        <v>0</v>
      </c>
      <c r="E28" s="20">
        <f ca="1">SUM(OFFSET(MonthAmort!$F$3,(12*A27)+1,0,12,1))</f>
        <v>0</v>
      </c>
      <c r="F28" s="20">
        <f t="shared" ca="1" si="0"/>
        <v>0</v>
      </c>
      <c r="G28" s="39">
        <f t="shared" ca="1" si="1"/>
        <v>0</v>
      </c>
      <c r="I28" s="45">
        <f ca="1">SUM($D$4:D28)</f>
        <v>3693130.3542563529</v>
      </c>
      <c r="J28" s="22">
        <f ca="1">SUM(OFFSET(MonthAmort!$L$3,1,0,A28*12,1))</f>
        <v>2797189.8248473643</v>
      </c>
      <c r="K28" s="45">
        <f ca="1">SUM($E$4:E28)</f>
        <v>2500000.0000000037</v>
      </c>
    </row>
    <row r="29" spans="1:11" ht="16.05" customHeight="1" x14ac:dyDescent="0.25">
      <c r="A29" s="44">
        <v>26</v>
      </c>
      <c r="B29" s="20">
        <f t="shared" ca="1" si="2"/>
        <v>0</v>
      </c>
      <c r="C29" s="20">
        <f ca="1">IF(B29=0,0,BondCalculator!$B$12*12)</f>
        <v>0</v>
      </c>
      <c r="D29" s="20">
        <f ca="1">SUM(OFFSET(MonthAmort!$E$3,(12*A28)+1,0,12,1))</f>
        <v>0</v>
      </c>
      <c r="E29" s="20">
        <f ca="1">SUM(OFFSET(MonthAmort!$F$3,(12*A28)+1,0,12,1))</f>
        <v>0</v>
      </c>
      <c r="F29" s="20">
        <f t="shared" ca="1" si="0"/>
        <v>0</v>
      </c>
      <c r="G29" s="39">
        <f t="shared" ca="1" si="1"/>
        <v>0</v>
      </c>
      <c r="I29" s="45">
        <f ca="1">SUM($D$4:D29)</f>
        <v>3693130.3542563529</v>
      </c>
      <c r="J29" s="22">
        <f ca="1">SUM(OFFSET(MonthAmort!$L$3,1,0,A29*12,1))</f>
        <v>2797189.8248473643</v>
      </c>
      <c r="K29" s="45">
        <f ca="1">SUM($E$4:E29)</f>
        <v>2500000.0000000037</v>
      </c>
    </row>
    <row r="30" spans="1:11" ht="16.05" customHeight="1" x14ac:dyDescent="0.25">
      <c r="A30" s="44">
        <v>27</v>
      </c>
      <c r="B30" s="20">
        <f t="shared" ca="1" si="2"/>
        <v>0</v>
      </c>
      <c r="C30" s="20">
        <f ca="1">IF(B30=0,0,BondCalculator!$B$12*12)</f>
        <v>0</v>
      </c>
      <c r="D30" s="20">
        <f ca="1">SUM(OFFSET(MonthAmort!$E$3,(12*A29)+1,0,12,1))</f>
        <v>0</v>
      </c>
      <c r="E30" s="20">
        <f ca="1">SUM(OFFSET(MonthAmort!$F$3,(12*A29)+1,0,12,1))</f>
        <v>0</v>
      </c>
      <c r="F30" s="20">
        <f t="shared" ca="1" si="0"/>
        <v>0</v>
      </c>
      <c r="G30" s="39">
        <f t="shared" ca="1" si="1"/>
        <v>0</v>
      </c>
      <c r="I30" s="45">
        <f ca="1">SUM($D$4:D30)</f>
        <v>3693130.3542563529</v>
      </c>
      <c r="J30" s="22">
        <f ca="1">SUM(OFFSET(MonthAmort!$L$3,1,0,A30*12,1))</f>
        <v>2797189.8248473643</v>
      </c>
      <c r="K30" s="45">
        <f ca="1">SUM($E$4:E30)</f>
        <v>2500000.0000000037</v>
      </c>
    </row>
    <row r="31" spans="1:11" ht="16.05" customHeight="1" x14ac:dyDescent="0.25">
      <c r="A31" s="44">
        <v>28</v>
      </c>
      <c r="B31" s="20">
        <f t="shared" ca="1" si="2"/>
        <v>0</v>
      </c>
      <c r="C31" s="20">
        <f ca="1">IF(B31=0,0,BondCalculator!$B$12*12)</f>
        <v>0</v>
      </c>
      <c r="D31" s="20">
        <f ca="1">SUM(OFFSET(MonthAmort!$E$3,(12*A30)+1,0,12,1))</f>
        <v>0</v>
      </c>
      <c r="E31" s="20">
        <f ca="1">SUM(OFFSET(MonthAmort!$F$3,(12*A30)+1,0,12,1))</f>
        <v>0</v>
      </c>
      <c r="F31" s="20">
        <f t="shared" ca="1" si="0"/>
        <v>0</v>
      </c>
      <c r="G31" s="39">
        <f t="shared" ca="1" si="1"/>
        <v>0</v>
      </c>
      <c r="I31" s="45">
        <f ca="1">SUM($D$4:D31)</f>
        <v>3693130.3542563529</v>
      </c>
      <c r="J31" s="22">
        <f ca="1">SUM(OFFSET(MonthAmort!$L$3,1,0,A31*12,1))</f>
        <v>2797189.8248473643</v>
      </c>
      <c r="K31" s="45">
        <f ca="1">SUM($E$4:E31)</f>
        <v>2500000.0000000037</v>
      </c>
    </row>
    <row r="32" spans="1:11" ht="16.05" customHeight="1" x14ac:dyDescent="0.25">
      <c r="A32" s="44">
        <v>29</v>
      </c>
      <c r="B32" s="20">
        <f t="shared" ca="1" si="2"/>
        <v>0</v>
      </c>
      <c r="C32" s="20">
        <f ca="1">IF(B32=0,0,BondCalculator!$B$12*12)</f>
        <v>0</v>
      </c>
      <c r="D32" s="20">
        <f ca="1">SUM(OFFSET(MonthAmort!$E$3,(12*A31)+1,0,12,1))</f>
        <v>0</v>
      </c>
      <c r="E32" s="20">
        <f ca="1">SUM(OFFSET(MonthAmort!$F$3,(12*A31)+1,0,12,1))</f>
        <v>0</v>
      </c>
      <c r="F32" s="20">
        <f t="shared" ca="1" si="0"/>
        <v>0</v>
      </c>
      <c r="G32" s="39">
        <f t="shared" ca="1" si="1"/>
        <v>0</v>
      </c>
      <c r="I32" s="45">
        <f ca="1">SUM($D$4:D32)</f>
        <v>3693130.3542563529</v>
      </c>
      <c r="J32" s="22">
        <f ca="1">SUM(OFFSET(MonthAmort!$L$3,1,0,A32*12,1))</f>
        <v>2797189.8248473643</v>
      </c>
      <c r="K32" s="45">
        <f ca="1">SUM($E$4:E32)</f>
        <v>2500000.0000000037</v>
      </c>
    </row>
    <row r="33" spans="1:11" ht="16.05" customHeight="1" x14ac:dyDescent="0.25">
      <c r="A33" s="44">
        <v>30</v>
      </c>
      <c r="B33" s="20">
        <f t="shared" ca="1" si="2"/>
        <v>0</v>
      </c>
      <c r="C33" s="20">
        <f ca="1">IF(B33=0,0,BondCalculator!$B$12*12)</f>
        <v>0</v>
      </c>
      <c r="D33" s="20">
        <f ca="1">SUM(OFFSET(MonthAmort!$E$3,(12*A32)+1,0,12,1))</f>
        <v>0</v>
      </c>
      <c r="E33" s="20">
        <f ca="1">SUM(OFFSET(MonthAmort!$F$3,(12*A32)+1,0,12,1))</f>
        <v>0</v>
      </c>
      <c r="F33" s="20">
        <f t="shared" ca="1" si="0"/>
        <v>0</v>
      </c>
      <c r="G33" s="39">
        <f t="shared" ca="1" si="1"/>
        <v>0</v>
      </c>
      <c r="I33" s="45">
        <f ca="1">SUM($D$4:D33)</f>
        <v>3693130.3542563529</v>
      </c>
      <c r="J33" s="22">
        <f ca="1">SUM(OFFSET(MonthAmort!$L$3,1,0,A33*12,1))</f>
        <v>2797189.8248473643</v>
      </c>
      <c r="K33" s="45">
        <f ca="1">SUM($E$4:E33)</f>
        <v>2500000.0000000037</v>
      </c>
    </row>
  </sheetData>
  <phoneticPr fontId="3" type="noConversion"/>
  <pageMargins left="0.74803149606299213" right="0.74803149606299213" top="0.98425196850393704" bottom="0.98425196850393704" header="0.51181102362204722" footer="0.51181102362204722"/>
  <pageSetup paperSize="9" scale="80" orientation="portrait" r:id="rId1"/>
  <headerFooter alignWithMargins="0">
    <oddFooter>&amp;C&amp;"-,Regular"&amp;9Page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S364"/>
  <sheetViews>
    <sheetView zoomScale="95" workbookViewId="0">
      <pane xSplit="1" ySplit="3" topLeftCell="B4" activePane="bottomRight" state="frozen"/>
      <selection pane="topRight" activeCell="B1" sqref="B1"/>
      <selection pane="bottomLeft" activeCell="A4" sqref="A4"/>
      <selection pane="bottomRight" activeCell="B3" sqref="B3"/>
    </sheetView>
  </sheetViews>
  <sheetFormatPr defaultColWidth="9.109375" defaultRowHeight="16.05" customHeight="1" x14ac:dyDescent="0.25"/>
  <cols>
    <col min="1" max="1" width="0" style="19" hidden="1" customWidth="1"/>
    <col min="2" max="2" width="15.6640625" style="19" customWidth="1"/>
    <col min="3" max="7" width="15.6640625" style="20" customWidth="1"/>
    <col min="8" max="8" width="15.6640625" style="26" customWidth="1"/>
    <col min="9" max="9" width="3.6640625" style="19" customWidth="1"/>
    <col min="10" max="14" width="15.6640625" style="21" hidden="1" customWidth="1"/>
    <col min="15" max="15" width="5.6640625" style="19" hidden="1" customWidth="1"/>
    <col min="16" max="16" width="15.6640625" style="22" hidden="1" customWidth="1"/>
    <col min="17" max="17" width="15.6640625" style="23" hidden="1" customWidth="1"/>
    <col min="18" max="18" width="5.6640625" style="22" hidden="1" customWidth="1"/>
    <col min="19" max="19" width="15.6640625" style="24" hidden="1" customWidth="1"/>
    <col min="20" max="24" width="12.6640625" style="19" customWidth="1"/>
    <col min="25" max="16384" width="9.109375" style="19"/>
  </cols>
  <sheetData>
    <row r="1" spans="1:19" ht="16.05" customHeight="1" x14ac:dyDescent="0.25">
      <c r="B1" s="18" t="s">
        <v>146</v>
      </c>
      <c r="H1" s="4"/>
    </row>
    <row r="2" spans="1:19" ht="16.05" customHeight="1" x14ac:dyDescent="0.25">
      <c r="B2" s="25" t="s">
        <v>193</v>
      </c>
    </row>
    <row r="3" spans="1:19" s="27" customFormat="1" ht="25.2" x14ac:dyDescent="0.2">
      <c r="B3" s="28" t="s">
        <v>5</v>
      </c>
      <c r="C3" s="29" t="s">
        <v>180</v>
      </c>
      <c r="D3" s="29" t="s">
        <v>3</v>
      </c>
      <c r="E3" s="29" t="s">
        <v>182</v>
      </c>
      <c r="F3" s="29" t="s">
        <v>196</v>
      </c>
      <c r="G3" s="29" t="s">
        <v>181</v>
      </c>
      <c r="H3" s="30" t="s">
        <v>4</v>
      </c>
      <c r="I3" s="31"/>
      <c r="J3" s="32" t="s">
        <v>180</v>
      </c>
      <c r="K3" s="32" t="s">
        <v>95</v>
      </c>
      <c r="L3" s="32" t="s">
        <v>182</v>
      </c>
      <c r="M3" s="32" t="s">
        <v>183</v>
      </c>
      <c r="N3" s="32" t="s">
        <v>181</v>
      </c>
      <c r="P3" s="32" t="s">
        <v>0</v>
      </c>
      <c r="Q3" s="33" t="s">
        <v>96</v>
      </c>
      <c r="R3" s="32"/>
      <c r="S3" s="34" t="s">
        <v>97</v>
      </c>
    </row>
    <row r="4" spans="1:19" ht="16.05" customHeight="1" x14ac:dyDescent="0.25">
      <c r="A4" s="19" t="s">
        <v>98</v>
      </c>
      <c r="B4" s="35">
        <v>1</v>
      </c>
      <c r="C4" s="20">
        <f>BondCalculator!$B$4</f>
        <v>2500000</v>
      </c>
      <c r="D4" s="20">
        <f>BondCalculator!$B$12</f>
        <v>25804.709809401418</v>
      </c>
      <c r="E4" s="20">
        <f>C4*BondCalculator!$B$5/12</f>
        <v>22916.666666666668</v>
      </c>
      <c r="F4" s="20">
        <f>D4-E4</f>
        <v>2888.0431427347503</v>
      </c>
      <c r="G4" s="20">
        <f>IF(ROUND(C4-F4,0)=0,0,C4-F4)</f>
        <v>2497111.9568572654</v>
      </c>
      <c r="H4" s="26">
        <f>G4/$C$4</f>
        <v>0.99884478274290622</v>
      </c>
      <c r="J4" s="22">
        <f>BondCalculator!B4</f>
        <v>2500000</v>
      </c>
      <c r="K4" s="22">
        <f>BondCalculator!$B$12+BondCalculator!$B$7</f>
        <v>27804.709809401418</v>
      </c>
      <c r="L4" s="22">
        <f>J4*BondCalculator!$B$5/12</f>
        <v>22916.666666666668</v>
      </c>
      <c r="M4" s="22">
        <f>IF(K4-L4&gt;N3,N3,K4-L4)</f>
        <v>4888.0431427347503</v>
      </c>
      <c r="N4" s="22">
        <f t="shared" ref="N4:N67" si="0">J4-M4</f>
        <v>2495111.9568572654</v>
      </c>
      <c r="P4" s="22">
        <f t="shared" ref="P4:P67" si="1">E4-L4</f>
        <v>0</v>
      </c>
      <c r="Q4" s="23">
        <f>-PV(BondCalculator!$B$9/12,B4,0,1,0)</f>
        <v>0.99502487562189068</v>
      </c>
      <c r="S4" s="24">
        <f t="shared" ref="S4:S67" si="2">P4*Q4</f>
        <v>0</v>
      </c>
    </row>
    <row r="5" spans="1:19" ht="16.05" customHeight="1" x14ac:dyDescent="0.25">
      <c r="A5" s="19" t="s">
        <v>98</v>
      </c>
      <c r="B5" s="35">
        <v>2</v>
      </c>
      <c r="C5" s="20">
        <f>IF(ROUND(G4,0)=0,0,G4)</f>
        <v>2497111.9568572654</v>
      </c>
      <c r="D5" s="20">
        <f>IF(G4=0,0,IF(G4&lt;BondCalculator!$B$12,G4+E5,BondCalculator!$B$12))</f>
        <v>25804.709809401418</v>
      </c>
      <c r="E5" s="20">
        <f>C5*BondCalculator!$B$5/12</f>
        <v>22890.192937858268</v>
      </c>
      <c r="F5" s="20">
        <f t="shared" ref="F5:F68" si="3">D5-E5</f>
        <v>2914.51687154315</v>
      </c>
      <c r="G5" s="20">
        <f t="shared" ref="G5:G68" si="4">IF(ROUND(C5-F5,0)=0,0,C5-F5)</f>
        <v>2494197.4399857223</v>
      </c>
      <c r="H5" s="26">
        <f t="shared" ref="H5:H68" si="5">G5/$C$4</f>
        <v>0.9976789759942889</v>
      </c>
      <c r="J5" s="22">
        <f t="shared" ref="J5:J68" si="6">IF(ROUND(N4,0)&gt;0,N4,0)</f>
        <v>2495111.9568572654</v>
      </c>
      <c r="K5" s="22">
        <f>IF(N4=0,0,IF(N4&lt;BondCalculator!$B$12+BondCalculator!$B$7,N4+L5,BondCalculator!$B$12+BondCalculator!$B$7))</f>
        <v>27804.709809401418</v>
      </c>
      <c r="L5" s="22">
        <f>J5*BondCalculator!$B$5/12</f>
        <v>22871.859604524932</v>
      </c>
      <c r="M5" s="22">
        <f t="shared" ref="M5:M68" si="7">IF(K5-L5&gt;N4,N4,K5-L5)</f>
        <v>4932.8502048764858</v>
      </c>
      <c r="N5" s="22">
        <f t="shared" si="0"/>
        <v>2490179.1066523888</v>
      </c>
      <c r="P5" s="22">
        <f t="shared" si="1"/>
        <v>18.333333333335759</v>
      </c>
      <c r="Q5" s="23">
        <f>-PV(BondCalculator!$B$9/12,B5,0,1,0)</f>
        <v>0.99007450310635903</v>
      </c>
      <c r="S5" s="24">
        <f t="shared" si="2"/>
        <v>18.15136589028565</v>
      </c>
    </row>
    <row r="6" spans="1:19" ht="16.05" customHeight="1" x14ac:dyDescent="0.25">
      <c r="A6" s="19" t="s">
        <v>98</v>
      </c>
      <c r="B6" s="35">
        <v>3</v>
      </c>
      <c r="C6" s="20">
        <f t="shared" ref="C6:C69" si="8">IF(ROUND(G5,0)=0,0,G5)</f>
        <v>2494197.4399857223</v>
      </c>
      <c r="D6" s="20">
        <f>IF(G5=0,0,IF(G5&lt;BondCalculator!$B$12,G5+E6,BondCalculator!$B$12))</f>
        <v>25804.709809401418</v>
      </c>
      <c r="E6" s="20">
        <f>C6*BondCalculator!$B$5/12</f>
        <v>22863.476533202454</v>
      </c>
      <c r="F6" s="20">
        <f t="shared" si="3"/>
        <v>2941.2332761989637</v>
      </c>
      <c r="G6" s="20">
        <f t="shared" si="4"/>
        <v>2491256.2067095232</v>
      </c>
      <c r="H6" s="26">
        <f t="shared" si="5"/>
        <v>0.99650248268380925</v>
      </c>
      <c r="J6" s="22">
        <f t="shared" si="6"/>
        <v>2490179.1066523888</v>
      </c>
      <c r="K6" s="22">
        <f>IF(N5=0,0,IF(N5&lt;BondCalculator!$B$12+BondCalculator!$B$7,N5+L6,BondCalculator!$B$12+BondCalculator!$B$7))</f>
        <v>27804.709809401418</v>
      </c>
      <c r="L6" s="22">
        <f>J6*BondCalculator!$B$5/12</f>
        <v>22826.641810980233</v>
      </c>
      <c r="M6" s="22">
        <f t="shared" si="7"/>
        <v>4978.0679984211856</v>
      </c>
      <c r="N6" s="22">
        <f t="shared" si="0"/>
        <v>2485201.0386539674</v>
      </c>
      <c r="P6" s="22">
        <f t="shared" si="1"/>
        <v>36.834722222221899</v>
      </c>
      <c r="Q6" s="23">
        <f>-PV(BondCalculator!$B$9/12,B6,0,1,0)</f>
        <v>0.98514875930981005</v>
      </c>
      <c r="S6" s="24">
        <f t="shared" si="2"/>
        <v>36.287680896743396</v>
      </c>
    </row>
    <row r="7" spans="1:19" ht="16.05" customHeight="1" x14ac:dyDescent="0.25">
      <c r="A7" s="19" t="s">
        <v>98</v>
      </c>
      <c r="B7" s="35">
        <v>4</v>
      </c>
      <c r="C7" s="20">
        <f t="shared" si="8"/>
        <v>2491256.2067095232</v>
      </c>
      <c r="D7" s="20">
        <f>IF(G6=0,0,IF(G6&lt;BondCalculator!$B$12,G6+E7,BondCalculator!$B$12))</f>
        <v>25804.709809401418</v>
      </c>
      <c r="E7" s="20">
        <f>C7*BondCalculator!$B$5/12</f>
        <v>22836.515228170629</v>
      </c>
      <c r="F7" s="20">
        <f t="shared" si="3"/>
        <v>2968.1945812307895</v>
      </c>
      <c r="G7" s="20">
        <f t="shared" si="4"/>
        <v>2488288.0121282926</v>
      </c>
      <c r="H7" s="26">
        <f t="shared" si="5"/>
        <v>0.99531520485131708</v>
      </c>
      <c r="J7" s="22">
        <f t="shared" si="6"/>
        <v>2485201.0386539674</v>
      </c>
      <c r="K7" s="22">
        <f>IF(N6=0,0,IF(N6&lt;BondCalculator!$B$12+BondCalculator!$B$7,N6+L7,BondCalculator!$B$12+BondCalculator!$B$7))</f>
        <v>27804.709809401418</v>
      </c>
      <c r="L7" s="22">
        <f>J7*BondCalculator!$B$5/12</f>
        <v>22781.009520994703</v>
      </c>
      <c r="M7" s="22">
        <f t="shared" si="7"/>
        <v>5023.7002884067151</v>
      </c>
      <c r="N7" s="22">
        <f t="shared" si="0"/>
        <v>2480177.3383655609</v>
      </c>
      <c r="P7" s="22">
        <f t="shared" si="1"/>
        <v>55.505707175925636</v>
      </c>
      <c r="Q7" s="23">
        <f>-PV(BondCalculator!$B$9/12,B7,0,1,0)</f>
        <v>0.9802475217013038</v>
      </c>
      <c r="S7" s="24">
        <f t="shared" si="2"/>
        <v>54.409331899479376</v>
      </c>
    </row>
    <row r="8" spans="1:19" ht="16.05" customHeight="1" x14ac:dyDescent="0.25">
      <c r="A8" s="19" t="s">
        <v>98</v>
      </c>
      <c r="B8" s="35">
        <v>5</v>
      </c>
      <c r="C8" s="20">
        <f t="shared" si="8"/>
        <v>2488288.0121282926</v>
      </c>
      <c r="D8" s="20">
        <f>IF(G7=0,0,IF(G7&lt;BondCalculator!$B$12,G7+E8,BondCalculator!$B$12))</f>
        <v>25804.709809401418</v>
      </c>
      <c r="E8" s="20">
        <f>C8*BondCalculator!$B$5/12</f>
        <v>22809.306777842681</v>
      </c>
      <c r="F8" s="20">
        <f t="shared" si="3"/>
        <v>2995.403031558737</v>
      </c>
      <c r="G8" s="20">
        <f t="shared" si="4"/>
        <v>2485292.6090967339</v>
      </c>
      <c r="H8" s="26">
        <f t="shared" si="5"/>
        <v>0.99411704363869358</v>
      </c>
      <c r="J8" s="22">
        <f t="shared" si="6"/>
        <v>2480177.3383655609</v>
      </c>
      <c r="K8" s="22">
        <f>IF(N7=0,0,IF(N7&lt;BondCalculator!$B$12+BondCalculator!$B$7,N7+L8,BondCalculator!$B$12+BondCalculator!$B$7))</f>
        <v>27804.709809401418</v>
      </c>
      <c r="L8" s="22">
        <f>J8*BondCalculator!$B$5/12</f>
        <v>22734.958935017639</v>
      </c>
      <c r="M8" s="22">
        <f t="shared" si="7"/>
        <v>5069.7508743837789</v>
      </c>
      <c r="N8" s="22">
        <f t="shared" si="0"/>
        <v>2475107.587491177</v>
      </c>
      <c r="P8" s="22">
        <f t="shared" si="1"/>
        <v>74.34784282504188</v>
      </c>
      <c r="Q8" s="23">
        <f>-PV(BondCalculator!$B$9/12,B8,0,1,0)</f>
        <v>0.97537066835950648</v>
      </c>
      <c r="S8" s="24">
        <f t="shared" si="2"/>
        <v>72.516705147348631</v>
      </c>
    </row>
    <row r="9" spans="1:19" ht="16.05" customHeight="1" x14ac:dyDescent="0.25">
      <c r="A9" s="19" t="s">
        <v>98</v>
      </c>
      <c r="B9" s="35">
        <v>6</v>
      </c>
      <c r="C9" s="20">
        <f t="shared" si="8"/>
        <v>2485292.6090967339</v>
      </c>
      <c r="D9" s="20">
        <f>IF(G8=0,0,IF(G8&lt;BondCalculator!$B$12,G8+E9,BondCalculator!$B$12))</f>
        <v>25804.709809401418</v>
      </c>
      <c r="E9" s="20">
        <f>C9*BondCalculator!$B$5/12</f>
        <v>22781.848916720061</v>
      </c>
      <c r="F9" s="20">
        <f t="shared" si="3"/>
        <v>3022.8608926813577</v>
      </c>
      <c r="G9" s="20">
        <f t="shared" si="4"/>
        <v>2482269.7482040524</v>
      </c>
      <c r="H9" s="26">
        <f t="shared" si="5"/>
        <v>0.99290789928162093</v>
      </c>
      <c r="J9" s="22">
        <f t="shared" si="6"/>
        <v>2475107.587491177</v>
      </c>
      <c r="K9" s="22">
        <f>IF(N8=0,0,IF(N8&lt;BondCalculator!$B$12+BondCalculator!$B$7,N8+L9,BondCalculator!$B$12+BondCalculator!$B$7))</f>
        <v>27804.709809401418</v>
      </c>
      <c r="L9" s="22">
        <f>J9*BondCalculator!$B$5/12</f>
        <v>22688.486218669121</v>
      </c>
      <c r="M9" s="22">
        <f t="shared" si="7"/>
        <v>5116.2235907322975</v>
      </c>
      <c r="N9" s="22">
        <f t="shared" si="0"/>
        <v>2469991.3639004449</v>
      </c>
      <c r="P9" s="22">
        <f t="shared" si="1"/>
        <v>93.362698050939798</v>
      </c>
      <c r="Q9" s="23">
        <f>-PV(BondCalculator!$B$9/12,B9,0,1,0)</f>
        <v>0.97051807796965839</v>
      </c>
      <c r="S9" s="24">
        <f t="shared" si="2"/>
        <v>90.610186266459664</v>
      </c>
    </row>
    <row r="10" spans="1:19" ht="16.05" customHeight="1" x14ac:dyDescent="0.25">
      <c r="A10" s="19" t="s">
        <v>98</v>
      </c>
      <c r="B10" s="35">
        <v>7</v>
      </c>
      <c r="C10" s="20">
        <f t="shared" si="8"/>
        <v>2482269.7482040524</v>
      </c>
      <c r="D10" s="20">
        <f>IF(G9=0,0,IF(G9&lt;BondCalculator!$B$12,G9+E10,BondCalculator!$B$12))</f>
        <v>25804.709809401418</v>
      </c>
      <c r="E10" s="20">
        <f>C10*BondCalculator!$B$5/12</f>
        <v>22754.139358537144</v>
      </c>
      <c r="F10" s="20">
        <f t="shared" si="3"/>
        <v>3050.5704508642739</v>
      </c>
      <c r="G10" s="20">
        <f t="shared" si="4"/>
        <v>2479219.1777531882</v>
      </c>
      <c r="H10" s="26">
        <f t="shared" si="5"/>
        <v>0.99168767110127531</v>
      </c>
      <c r="J10" s="22">
        <f t="shared" si="6"/>
        <v>2469991.3639004449</v>
      </c>
      <c r="K10" s="22">
        <f>IF(N9=0,0,IF(N9&lt;BondCalculator!$B$12+BondCalculator!$B$7,N9+L10,BondCalculator!$B$12+BondCalculator!$B$7))</f>
        <v>27804.709809401418</v>
      </c>
      <c r="L10" s="22">
        <f>J10*BondCalculator!$B$5/12</f>
        <v>22641.587502420745</v>
      </c>
      <c r="M10" s="22">
        <f t="shared" si="7"/>
        <v>5163.1223069806729</v>
      </c>
      <c r="N10" s="22">
        <f t="shared" si="0"/>
        <v>2464828.2415934643</v>
      </c>
      <c r="P10" s="22">
        <f t="shared" si="1"/>
        <v>112.55185611639899</v>
      </c>
      <c r="Q10" s="23">
        <f>-PV(BondCalculator!$B$9/12,B10,0,1,0)</f>
        <v>0.96568962982055562</v>
      </c>
      <c r="S10" s="24">
        <f t="shared" si="2"/>
        <v>108.69016026866178</v>
      </c>
    </row>
    <row r="11" spans="1:19" ht="16.05" customHeight="1" x14ac:dyDescent="0.25">
      <c r="A11" s="19" t="s">
        <v>98</v>
      </c>
      <c r="B11" s="35">
        <v>8</v>
      </c>
      <c r="C11" s="20">
        <f t="shared" si="8"/>
        <v>2479219.1777531882</v>
      </c>
      <c r="D11" s="20">
        <f>IF(G10=0,0,IF(G10&lt;BondCalculator!$B$12,G10+E11,BondCalculator!$B$12))</f>
        <v>25804.709809401418</v>
      </c>
      <c r="E11" s="20">
        <f>C11*BondCalculator!$B$5/12</f>
        <v>22726.175796070893</v>
      </c>
      <c r="F11" s="20">
        <f t="shared" si="3"/>
        <v>3078.5340133305253</v>
      </c>
      <c r="G11" s="20">
        <f t="shared" si="4"/>
        <v>2476140.6437398577</v>
      </c>
      <c r="H11" s="26">
        <f t="shared" si="5"/>
        <v>0.99045625749594313</v>
      </c>
      <c r="J11" s="22">
        <f t="shared" si="6"/>
        <v>2464828.2415934643</v>
      </c>
      <c r="K11" s="22">
        <f>IF(N10=0,0,IF(N10&lt;BondCalculator!$B$12+BondCalculator!$B$7,N10+L11,BondCalculator!$B$12+BondCalculator!$B$7))</f>
        <v>27804.709809401418</v>
      </c>
      <c r="L11" s="22">
        <f>J11*BondCalculator!$B$5/12</f>
        <v>22594.258881273421</v>
      </c>
      <c r="M11" s="22">
        <f t="shared" si="7"/>
        <v>5210.450928127997</v>
      </c>
      <c r="N11" s="22">
        <f t="shared" si="0"/>
        <v>2459617.7906653364</v>
      </c>
      <c r="P11" s="22">
        <f t="shared" si="1"/>
        <v>131.91691479747169</v>
      </c>
      <c r="Q11" s="23">
        <f>-PV(BondCalculator!$B$9/12,B11,0,1,0)</f>
        <v>0.96088520380154796</v>
      </c>
      <c r="S11" s="24">
        <f t="shared" si="2"/>
        <v>126.75701156004003</v>
      </c>
    </row>
    <row r="12" spans="1:19" ht="16.05" customHeight="1" x14ac:dyDescent="0.25">
      <c r="A12" s="19" t="s">
        <v>98</v>
      </c>
      <c r="B12" s="35">
        <v>9</v>
      </c>
      <c r="C12" s="20">
        <f t="shared" si="8"/>
        <v>2476140.6437398577</v>
      </c>
      <c r="D12" s="20">
        <f>IF(G11=0,0,IF(G11&lt;BondCalculator!$B$12,G11+E12,BondCalculator!$B$12))</f>
        <v>25804.709809401418</v>
      </c>
      <c r="E12" s="20">
        <f>C12*BondCalculator!$B$5/12</f>
        <v>22697.955900948695</v>
      </c>
      <c r="F12" s="20">
        <f t="shared" si="3"/>
        <v>3106.7539084527234</v>
      </c>
      <c r="G12" s="20">
        <f t="shared" si="4"/>
        <v>2473033.8898314051</v>
      </c>
      <c r="H12" s="26">
        <f t="shared" si="5"/>
        <v>0.98921355593256211</v>
      </c>
      <c r="J12" s="22">
        <f t="shared" si="6"/>
        <v>2459617.7906653364</v>
      </c>
      <c r="K12" s="22">
        <f>IF(N11=0,0,IF(N11&lt;BondCalculator!$B$12+BondCalculator!$B$7,N11+L12,BondCalculator!$B$12+BondCalculator!$B$7))</f>
        <v>27804.709809401418</v>
      </c>
      <c r="L12" s="22">
        <f>J12*BondCalculator!$B$5/12</f>
        <v>22546.496414432248</v>
      </c>
      <c r="M12" s="22">
        <f t="shared" si="7"/>
        <v>5258.2133949691706</v>
      </c>
      <c r="N12" s="22">
        <f t="shared" si="0"/>
        <v>2454359.5772703672</v>
      </c>
      <c r="P12" s="22">
        <f t="shared" si="1"/>
        <v>151.45948651644721</v>
      </c>
      <c r="Q12" s="23">
        <f>-PV(BondCalculator!$B$9/12,B12,0,1,0)</f>
        <v>0.95610468039955032</v>
      </c>
      <c r="S12" s="24">
        <f t="shared" si="2"/>
        <v>144.81112394928778</v>
      </c>
    </row>
    <row r="13" spans="1:19" ht="16.05" customHeight="1" x14ac:dyDescent="0.25">
      <c r="A13" s="19" t="s">
        <v>98</v>
      </c>
      <c r="B13" s="35">
        <v>10</v>
      </c>
      <c r="C13" s="20">
        <f t="shared" si="8"/>
        <v>2473033.8898314051</v>
      </c>
      <c r="D13" s="20">
        <f>IF(G12=0,0,IF(G12&lt;BondCalculator!$B$12,G12+E13,BondCalculator!$B$12))</f>
        <v>25804.709809401418</v>
      </c>
      <c r="E13" s="20">
        <f>C13*BondCalculator!$B$5/12</f>
        <v>22669.477323454546</v>
      </c>
      <c r="F13" s="20">
        <f t="shared" si="3"/>
        <v>3135.2324859468717</v>
      </c>
      <c r="G13" s="20">
        <f t="shared" si="4"/>
        <v>2469898.6573454584</v>
      </c>
      <c r="H13" s="26">
        <f t="shared" si="5"/>
        <v>0.98795946293818337</v>
      </c>
      <c r="J13" s="22">
        <f t="shared" si="6"/>
        <v>2454359.5772703672</v>
      </c>
      <c r="K13" s="22">
        <f>IF(N12=0,0,IF(N12&lt;BondCalculator!$B$12+BondCalculator!$B$7,N12+L13,BondCalculator!$B$12+BondCalculator!$B$7))</f>
        <v>27804.709809401418</v>
      </c>
      <c r="L13" s="22">
        <f>J13*BondCalculator!$B$5/12</f>
        <v>22498.296124978366</v>
      </c>
      <c r="M13" s="22">
        <f t="shared" si="7"/>
        <v>5306.4136844230525</v>
      </c>
      <c r="N13" s="22">
        <f t="shared" si="0"/>
        <v>2449053.1635859441</v>
      </c>
      <c r="P13" s="22">
        <f t="shared" si="1"/>
        <v>171.18119847618073</v>
      </c>
      <c r="Q13" s="23">
        <f>-PV(BondCalculator!$B$9/12,B13,0,1,0)</f>
        <v>0.95134794069607009</v>
      </c>
      <c r="S13" s="24">
        <f t="shared" si="2"/>
        <v>162.85288065619977</v>
      </c>
    </row>
    <row r="14" spans="1:19" ht="16.05" customHeight="1" x14ac:dyDescent="0.25">
      <c r="A14" s="19" t="s">
        <v>98</v>
      </c>
      <c r="B14" s="35">
        <v>11</v>
      </c>
      <c r="C14" s="20">
        <f t="shared" si="8"/>
        <v>2469898.6573454584</v>
      </c>
      <c r="D14" s="20">
        <f>IF(G13=0,0,IF(G13&lt;BondCalculator!$B$12,G13+E14,BondCalculator!$B$12))</f>
        <v>25804.709809401418</v>
      </c>
      <c r="E14" s="20">
        <f>C14*BondCalculator!$B$5/12</f>
        <v>22640.737692333369</v>
      </c>
      <c r="F14" s="20">
        <f t="shared" si="3"/>
        <v>3163.9721170680496</v>
      </c>
      <c r="G14" s="20">
        <f t="shared" si="4"/>
        <v>2466734.6852283902</v>
      </c>
      <c r="H14" s="26">
        <f t="shared" si="5"/>
        <v>0.98669387409135612</v>
      </c>
      <c r="J14" s="22">
        <f t="shared" si="6"/>
        <v>2449053.1635859441</v>
      </c>
      <c r="K14" s="22">
        <f>IF(N13=0,0,IF(N13&lt;BondCalculator!$B$12+BondCalculator!$B$7,N13+L14,BondCalculator!$B$12+BondCalculator!$B$7))</f>
        <v>27804.709809401418</v>
      </c>
      <c r="L14" s="22">
        <f>J14*BondCalculator!$B$5/12</f>
        <v>22449.653999537823</v>
      </c>
      <c r="M14" s="22">
        <f t="shared" si="7"/>
        <v>5355.0558098635956</v>
      </c>
      <c r="N14" s="22">
        <f t="shared" si="0"/>
        <v>2443698.1077760807</v>
      </c>
      <c r="P14" s="22">
        <f t="shared" si="1"/>
        <v>191.08369279554609</v>
      </c>
      <c r="Q14" s="23">
        <f>-PV(BondCalculator!$B$9/12,B14,0,1,0)</f>
        <v>0.94661486636424896</v>
      </c>
      <c r="S14" s="24">
        <f t="shared" si="2"/>
        <v>180.88266432004306</v>
      </c>
    </row>
    <row r="15" spans="1:19" ht="16.05" customHeight="1" x14ac:dyDescent="0.25">
      <c r="A15" s="19" t="s">
        <v>98</v>
      </c>
      <c r="B15" s="35">
        <v>12</v>
      </c>
      <c r="C15" s="20">
        <f t="shared" si="8"/>
        <v>2466734.6852283902</v>
      </c>
      <c r="D15" s="20">
        <f>IF(G14=0,0,IF(G14&lt;BondCalculator!$B$12,G14+E15,BondCalculator!$B$12))</f>
        <v>25804.709809401418</v>
      </c>
      <c r="E15" s="20">
        <f>C15*BondCalculator!$B$5/12</f>
        <v>22611.734614593577</v>
      </c>
      <c r="F15" s="20">
        <f t="shared" si="3"/>
        <v>3192.975194807841</v>
      </c>
      <c r="G15" s="20">
        <f t="shared" si="4"/>
        <v>2463541.7100335825</v>
      </c>
      <c r="H15" s="26">
        <f t="shared" si="5"/>
        <v>0.98541668401343296</v>
      </c>
      <c r="J15" s="22">
        <f t="shared" si="6"/>
        <v>2443698.1077760807</v>
      </c>
      <c r="K15" s="22">
        <f>IF(N14=0,0,IF(N14&lt;BondCalculator!$B$12+BondCalculator!$B$7,N14+L15,BondCalculator!$B$12+BondCalculator!$B$7))</f>
        <v>27804.709809401418</v>
      </c>
      <c r="L15" s="22">
        <f>J15*BondCalculator!$B$5/12</f>
        <v>22400.565987947408</v>
      </c>
      <c r="M15" s="22">
        <f t="shared" si="7"/>
        <v>5404.1438214540103</v>
      </c>
      <c r="N15" s="22">
        <f t="shared" si="0"/>
        <v>2438293.9639546266</v>
      </c>
      <c r="P15" s="22">
        <f t="shared" si="1"/>
        <v>211.16862664616929</v>
      </c>
      <c r="Q15" s="23">
        <f>-PV(BondCalculator!$B$9/12,B15,0,1,0)</f>
        <v>0.94190533966591972</v>
      </c>
      <c r="S15" s="24">
        <f t="shared" si="2"/>
        <v>198.90085700794586</v>
      </c>
    </row>
    <row r="16" spans="1:19" ht="16.05" customHeight="1" x14ac:dyDescent="0.25">
      <c r="A16" s="19" t="s">
        <v>99</v>
      </c>
      <c r="B16" s="35">
        <v>13</v>
      </c>
      <c r="C16" s="20">
        <f t="shared" si="8"/>
        <v>2463541.7100335825</v>
      </c>
      <c r="D16" s="20">
        <f>IF(G15=0,0,IF(G15&lt;BondCalculator!$B$12,G15+E16,BondCalculator!$B$12))</f>
        <v>25804.709809401418</v>
      </c>
      <c r="E16" s="20">
        <f>C16*BondCalculator!$B$5/12</f>
        <v>22582.465675307842</v>
      </c>
      <c r="F16" s="20">
        <f t="shared" si="3"/>
        <v>3222.2441340935766</v>
      </c>
      <c r="G16" s="20">
        <f t="shared" si="4"/>
        <v>2460319.4658994889</v>
      </c>
      <c r="H16" s="26">
        <f t="shared" si="5"/>
        <v>0.98412778635979559</v>
      </c>
      <c r="J16" s="22">
        <f t="shared" si="6"/>
        <v>2438293.9639546266</v>
      </c>
      <c r="K16" s="22">
        <f>IF(N15=0,0,IF(N15&lt;BondCalculator!$B$12+BondCalculator!$B$7,N15+L16,BondCalculator!$B$12+BondCalculator!$B$7))</f>
        <v>27804.709809401418</v>
      </c>
      <c r="L16" s="22">
        <f>J16*BondCalculator!$B$5/12</f>
        <v>22351.028002917414</v>
      </c>
      <c r="M16" s="22">
        <f t="shared" si="7"/>
        <v>5453.6818064840045</v>
      </c>
      <c r="N16" s="22">
        <f t="shared" si="0"/>
        <v>2432840.2821481423</v>
      </c>
      <c r="P16" s="22">
        <f t="shared" si="1"/>
        <v>231.43767239042791</v>
      </c>
      <c r="Q16" s="23">
        <f>-PV(BondCalculator!$B$9/12,B16,0,1,0)</f>
        <v>0.93721924344867635</v>
      </c>
      <c r="S16" s="24">
        <f t="shared" si="2"/>
        <v>216.90784022327946</v>
      </c>
    </row>
    <row r="17" spans="1:19" ht="16.05" customHeight="1" x14ac:dyDescent="0.25">
      <c r="A17" s="19" t="s">
        <v>99</v>
      </c>
      <c r="B17" s="35">
        <v>14</v>
      </c>
      <c r="C17" s="20">
        <f t="shared" si="8"/>
        <v>2460319.4658994889</v>
      </c>
      <c r="D17" s="20">
        <f>IF(G16=0,0,IF(G16&lt;BondCalculator!$B$12,G16+E17,BondCalculator!$B$12))</f>
        <v>25804.709809401418</v>
      </c>
      <c r="E17" s="20">
        <f>C17*BondCalculator!$B$5/12</f>
        <v>22552.928437411985</v>
      </c>
      <c r="F17" s="20">
        <f t="shared" si="3"/>
        <v>3251.781371989433</v>
      </c>
      <c r="G17" s="20">
        <f t="shared" si="4"/>
        <v>2457067.6845274996</v>
      </c>
      <c r="H17" s="26">
        <f t="shared" si="5"/>
        <v>0.98282707381099987</v>
      </c>
      <c r="J17" s="22">
        <f t="shared" si="6"/>
        <v>2432840.2821481423</v>
      </c>
      <c r="K17" s="22">
        <f>IF(N16=0,0,IF(N16&lt;BondCalculator!$B$12+BondCalculator!$B$7,N16+L17,BondCalculator!$B$12+BondCalculator!$B$7))</f>
        <v>27804.709809401418</v>
      </c>
      <c r="L17" s="22">
        <f>J17*BondCalculator!$B$5/12</f>
        <v>22301.035919691305</v>
      </c>
      <c r="M17" s="22">
        <f t="shared" si="7"/>
        <v>5503.6738897101131</v>
      </c>
      <c r="N17" s="22">
        <f t="shared" si="0"/>
        <v>2427336.6082584322</v>
      </c>
      <c r="P17" s="22">
        <f t="shared" si="1"/>
        <v>251.89251772068019</v>
      </c>
      <c r="Q17" s="23">
        <f>-PV(BondCalculator!$B$9/12,B17,0,1,0)</f>
        <v>0.93255646114296176</v>
      </c>
      <c r="S17" s="24">
        <f t="shared" si="2"/>
        <v>234.9039949139883</v>
      </c>
    </row>
    <row r="18" spans="1:19" ht="16.05" customHeight="1" x14ac:dyDescent="0.25">
      <c r="A18" s="19" t="s">
        <v>99</v>
      </c>
      <c r="B18" s="35">
        <v>15</v>
      </c>
      <c r="C18" s="20">
        <f t="shared" si="8"/>
        <v>2457067.6845274996</v>
      </c>
      <c r="D18" s="20">
        <f>IF(G17=0,0,IF(G17&lt;BondCalculator!$B$12,G17+E18,BondCalculator!$B$12))</f>
        <v>25804.709809401418</v>
      </c>
      <c r="E18" s="20">
        <f>C18*BondCalculator!$B$5/12</f>
        <v>22523.12044150208</v>
      </c>
      <c r="F18" s="20">
        <f t="shared" si="3"/>
        <v>3281.589367899338</v>
      </c>
      <c r="G18" s="20">
        <f t="shared" si="4"/>
        <v>2453786.0951596005</v>
      </c>
      <c r="H18" s="26">
        <f t="shared" si="5"/>
        <v>0.9815144380638402</v>
      </c>
      <c r="J18" s="22">
        <f t="shared" si="6"/>
        <v>2427336.6082584322</v>
      </c>
      <c r="K18" s="22">
        <f>IF(N17=0,0,IF(N17&lt;BondCalculator!$B$12+BondCalculator!$B$7,N17+L18,BondCalculator!$B$12+BondCalculator!$B$7))</f>
        <v>27804.709809401418</v>
      </c>
      <c r="L18" s="22">
        <f>J18*BondCalculator!$B$5/12</f>
        <v>22250.585575702295</v>
      </c>
      <c r="M18" s="22">
        <f t="shared" si="7"/>
        <v>5554.1242336991236</v>
      </c>
      <c r="N18" s="22">
        <f t="shared" si="0"/>
        <v>2421782.4840247333</v>
      </c>
      <c r="P18" s="22">
        <f t="shared" si="1"/>
        <v>272.53486579978562</v>
      </c>
      <c r="Q18" s="23">
        <f>-PV(BondCalculator!$B$9/12,B18,0,1,0)</f>
        <v>0.92791687675916612</v>
      </c>
      <c r="S18" s="24">
        <f t="shared" si="2"/>
        <v>252.88970148091556</v>
      </c>
    </row>
    <row r="19" spans="1:19" ht="16.05" customHeight="1" x14ac:dyDescent="0.25">
      <c r="A19" s="19" t="s">
        <v>99</v>
      </c>
      <c r="B19" s="35">
        <v>16</v>
      </c>
      <c r="C19" s="20">
        <f t="shared" si="8"/>
        <v>2453786.0951596005</v>
      </c>
      <c r="D19" s="20">
        <f>IF(G18=0,0,IF(G18&lt;BondCalculator!$B$12,G18+E19,BondCalculator!$B$12))</f>
        <v>25804.709809401418</v>
      </c>
      <c r="E19" s="20">
        <f>C19*BondCalculator!$B$5/12</f>
        <v>22493.03920562967</v>
      </c>
      <c r="F19" s="20">
        <f t="shared" si="3"/>
        <v>3311.6706037717486</v>
      </c>
      <c r="G19" s="20">
        <f t="shared" si="4"/>
        <v>2450474.4245558288</v>
      </c>
      <c r="H19" s="26">
        <f t="shared" si="5"/>
        <v>0.98018976982233152</v>
      </c>
      <c r="J19" s="22">
        <f t="shared" si="6"/>
        <v>2421782.4840247333</v>
      </c>
      <c r="K19" s="22">
        <f>IF(N18=0,0,IF(N18&lt;BondCalculator!$B$12+BondCalculator!$B$7,N18+L19,BondCalculator!$B$12+BondCalculator!$B$7))</f>
        <v>27804.709809401418</v>
      </c>
      <c r="L19" s="22">
        <f>J19*BondCalculator!$B$5/12</f>
        <v>22199.672770226724</v>
      </c>
      <c r="M19" s="22">
        <f t="shared" si="7"/>
        <v>5605.0370391746947</v>
      </c>
      <c r="N19" s="22">
        <f t="shared" si="0"/>
        <v>2416177.4469855586</v>
      </c>
      <c r="P19" s="22">
        <f t="shared" si="1"/>
        <v>293.36643540294608</v>
      </c>
      <c r="Q19" s="23">
        <f>-PV(BondCalculator!$B$9/12,B19,0,1,0)</f>
        <v>0.92330037488474248</v>
      </c>
      <c r="S19" s="24">
        <f t="shared" si="2"/>
        <v>270.86533978614068</v>
      </c>
    </row>
    <row r="20" spans="1:19" ht="16.05" customHeight="1" x14ac:dyDescent="0.25">
      <c r="A20" s="19" t="s">
        <v>99</v>
      </c>
      <c r="B20" s="35">
        <v>17</v>
      </c>
      <c r="C20" s="20">
        <f t="shared" si="8"/>
        <v>2450474.4245558288</v>
      </c>
      <c r="D20" s="20">
        <f>IF(G19=0,0,IF(G19&lt;BondCalculator!$B$12,G19+E20,BondCalculator!$B$12))</f>
        <v>25804.709809401418</v>
      </c>
      <c r="E20" s="20">
        <f>C20*BondCalculator!$B$5/12</f>
        <v>22462.682225095097</v>
      </c>
      <c r="F20" s="20">
        <f t="shared" si="3"/>
        <v>3342.0275843063209</v>
      </c>
      <c r="G20" s="20">
        <f t="shared" si="4"/>
        <v>2447132.3969715224</v>
      </c>
      <c r="H20" s="26">
        <f t="shared" si="5"/>
        <v>0.9788529587886089</v>
      </c>
      <c r="J20" s="22">
        <f t="shared" si="6"/>
        <v>2416177.4469855586</v>
      </c>
      <c r="K20" s="22">
        <f>IF(N19=0,0,IF(N19&lt;BondCalculator!$B$12+BondCalculator!$B$7,N19+L20,BondCalculator!$B$12+BondCalculator!$B$7))</f>
        <v>27804.709809401418</v>
      </c>
      <c r="L20" s="22">
        <f>J20*BondCalculator!$B$5/12</f>
        <v>22148.293264034288</v>
      </c>
      <c r="M20" s="22">
        <f t="shared" si="7"/>
        <v>5656.4165453671303</v>
      </c>
      <c r="N20" s="22">
        <f t="shared" si="0"/>
        <v>2410521.0304401913</v>
      </c>
      <c r="P20" s="22">
        <f t="shared" si="1"/>
        <v>314.38896106080938</v>
      </c>
      <c r="Q20" s="23">
        <f>-PV(BondCalculator!$B$9/12,B20,0,1,0)</f>
        <v>0.9187068406813359</v>
      </c>
      <c r="S20" s="24">
        <f t="shared" si="2"/>
        <v>288.83128916126373</v>
      </c>
    </row>
    <row r="21" spans="1:19" ht="16.05" customHeight="1" x14ac:dyDescent="0.25">
      <c r="A21" s="19" t="s">
        <v>99</v>
      </c>
      <c r="B21" s="35">
        <v>18</v>
      </c>
      <c r="C21" s="20">
        <f t="shared" si="8"/>
        <v>2447132.3969715224</v>
      </c>
      <c r="D21" s="20">
        <f>IF(G20=0,0,IF(G20&lt;BondCalculator!$B$12,G20+E21,BondCalculator!$B$12))</f>
        <v>25804.709809401418</v>
      </c>
      <c r="E21" s="20">
        <f>C21*BondCalculator!$B$5/12</f>
        <v>22432.046972238953</v>
      </c>
      <c r="F21" s="20">
        <f t="shared" si="3"/>
        <v>3372.6628371624647</v>
      </c>
      <c r="G21" s="20">
        <f t="shared" si="4"/>
        <v>2443759.7341343598</v>
      </c>
      <c r="H21" s="26">
        <f t="shared" si="5"/>
        <v>0.9775038936537439</v>
      </c>
      <c r="J21" s="22">
        <f t="shared" si="6"/>
        <v>2410521.0304401913</v>
      </c>
      <c r="K21" s="22">
        <f>IF(N20=0,0,IF(N20&lt;BondCalculator!$B$12+BondCalculator!$B$7,N20+L21,BondCalculator!$B$12+BondCalculator!$B$7))</f>
        <v>27804.709809401418</v>
      </c>
      <c r="L21" s="22">
        <f>J21*BondCalculator!$B$5/12</f>
        <v>22096.442779035089</v>
      </c>
      <c r="M21" s="22">
        <f t="shared" si="7"/>
        <v>5708.267030366329</v>
      </c>
      <c r="N21" s="22">
        <f t="shared" si="0"/>
        <v>2404812.763409825</v>
      </c>
      <c r="P21" s="22">
        <f t="shared" si="1"/>
        <v>335.60419320386427</v>
      </c>
      <c r="Q21" s="23">
        <f>-PV(BondCalculator!$B$9/12,B21,0,1,0)</f>
        <v>0.91413615988192654</v>
      </c>
      <c r="S21" s="24">
        <f t="shared" si="2"/>
        <v>306.78792841565263</v>
      </c>
    </row>
    <row r="22" spans="1:19" ht="16.05" customHeight="1" x14ac:dyDescent="0.25">
      <c r="A22" s="19" t="s">
        <v>99</v>
      </c>
      <c r="B22" s="35">
        <v>19</v>
      </c>
      <c r="C22" s="20">
        <f t="shared" si="8"/>
        <v>2443759.7341343598</v>
      </c>
      <c r="D22" s="20">
        <f>IF(G21=0,0,IF(G21&lt;BondCalculator!$B$12,G21+E22,BondCalculator!$B$12))</f>
        <v>25804.709809401418</v>
      </c>
      <c r="E22" s="20">
        <f>C22*BondCalculator!$B$5/12</f>
        <v>22401.130896231629</v>
      </c>
      <c r="F22" s="20">
        <f t="shared" si="3"/>
        <v>3403.5789131697893</v>
      </c>
      <c r="G22" s="20">
        <f t="shared" si="4"/>
        <v>2440356.1552211898</v>
      </c>
      <c r="H22" s="26">
        <f t="shared" si="5"/>
        <v>0.97614246208847588</v>
      </c>
      <c r="J22" s="22">
        <f t="shared" si="6"/>
        <v>2404812.763409825</v>
      </c>
      <c r="K22" s="22">
        <f>IF(N21=0,0,IF(N21&lt;BondCalculator!$B$12+BondCalculator!$B$7,N21+L22,BondCalculator!$B$12+BondCalculator!$B$7))</f>
        <v>27804.709809401418</v>
      </c>
      <c r="L22" s="22">
        <f>J22*BondCalculator!$B$5/12</f>
        <v>22044.116997923396</v>
      </c>
      <c r="M22" s="22">
        <f t="shared" si="7"/>
        <v>5760.5928114780218</v>
      </c>
      <c r="N22" s="22">
        <f t="shared" si="0"/>
        <v>2399052.1705983472</v>
      </c>
      <c r="P22" s="22">
        <f t="shared" si="1"/>
        <v>357.01389830823246</v>
      </c>
      <c r="Q22" s="23">
        <f>-PV(BondCalculator!$B$9/12,B22,0,1,0)</f>
        <v>0.90958821878798668</v>
      </c>
      <c r="S22" s="24">
        <f t="shared" si="2"/>
        <v>324.73563584474056</v>
      </c>
    </row>
    <row r="23" spans="1:19" ht="16.05" customHeight="1" x14ac:dyDescent="0.25">
      <c r="A23" s="19" t="s">
        <v>99</v>
      </c>
      <c r="B23" s="35">
        <v>20</v>
      </c>
      <c r="C23" s="20">
        <f t="shared" si="8"/>
        <v>2440356.1552211898</v>
      </c>
      <c r="D23" s="20">
        <f>IF(G22=0,0,IF(G22&lt;BondCalculator!$B$12,G22+E23,BondCalculator!$B$12))</f>
        <v>25804.709809401418</v>
      </c>
      <c r="E23" s="20">
        <f>C23*BondCalculator!$B$5/12</f>
        <v>22369.931422860904</v>
      </c>
      <c r="F23" s="20">
        <f t="shared" si="3"/>
        <v>3434.7783865405145</v>
      </c>
      <c r="G23" s="20">
        <f t="shared" si="4"/>
        <v>2436921.3768346491</v>
      </c>
      <c r="H23" s="26">
        <f t="shared" si="5"/>
        <v>0.9747685507338596</v>
      </c>
      <c r="J23" s="22">
        <f t="shared" si="6"/>
        <v>2399052.1705983472</v>
      </c>
      <c r="K23" s="22">
        <f>IF(N22=0,0,IF(N22&lt;BondCalculator!$B$12+BondCalculator!$B$7,N22+L23,BondCalculator!$B$12+BondCalculator!$B$7))</f>
        <v>27804.709809401418</v>
      </c>
      <c r="L23" s="22">
        <f>J23*BondCalculator!$B$5/12</f>
        <v>21991.311563818181</v>
      </c>
      <c r="M23" s="22">
        <f t="shared" si="7"/>
        <v>5813.3982455832374</v>
      </c>
      <c r="N23" s="22">
        <f t="shared" si="0"/>
        <v>2393238.7723527639</v>
      </c>
      <c r="P23" s="22">
        <f t="shared" si="1"/>
        <v>378.61985904272296</v>
      </c>
      <c r="Q23" s="23">
        <f>-PV(BondCalculator!$B$9/12,B23,0,1,0)</f>
        <v>0.90506290426665348</v>
      </c>
      <c r="S23" s="24">
        <f t="shared" si="2"/>
        <v>342.67478923823779</v>
      </c>
    </row>
    <row r="24" spans="1:19" ht="16.05" customHeight="1" x14ac:dyDescent="0.25">
      <c r="A24" s="19" t="s">
        <v>99</v>
      </c>
      <c r="B24" s="35">
        <v>21</v>
      </c>
      <c r="C24" s="20">
        <f t="shared" si="8"/>
        <v>2436921.3768346491</v>
      </c>
      <c r="D24" s="20">
        <f>IF(G23=0,0,IF(G23&lt;BondCalculator!$B$12,G23+E24,BondCalculator!$B$12))</f>
        <v>25804.709809401418</v>
      </c>
      <c r="E24" s="20">
        <f>C24*BondCalculator!$B$5/12</f>
        <v>22338.445954317616</v>
      </c>
      <c r="F24" s="20">
        <f t="shared" si="3"/>
        <v>3466.2638550838019</v>
      </c>
      <c r="G24" s="20">
        <f t="shared" si="4"/>
        <v>2433455.1129795653</v>
      </c>
      <c r="H24" s="26">
        <f t="shared" si="5"/>
        <v>0.97338204519182614</v>
      </c>
      <c r="J24" s="22">
        <f t="shared" si="6"/>
        <v>2393238.7723527639</v>
      </c>
      <c r="K24" s="22">
        <f>IF(N23=0,0,IF(N23&lt;BondCalculator!$B$12+BondCalculator!$B$7,N23+L24,BondCalculator!$B$12+BondCalculator!$B$7))</f>
        <v>27804.709809401418</v>
      </c>
      <c r="L24" s="22">
        <f>J24*BondCalculator!$B$5/12</f>
        <v>21938.022079900333</v>
      </c>
      <c r="M24" s="22">
        <f t="shared" si="7"/>
        <v>5866.6877295010854</v>
      </c>
      <c r="N24" s="22">
        <f t="shared" si="0"/>
        <v>2387372.0846232628</v>
      </c>
      <c r="P24" s="22">
        <f t="shared" si="1"/>
        <v>400.42387441728351</v>
      </c>
      <c r="Q24" s="23">
        <f>-PV(BondCalculator!$B$9/12,B24,0,1,0)</f>
        <v>0.90056010374791418</v>
      </c>
      <c r="S24" s="24">
        <f t="shared" si="2"/>
        <v>360.60576588837063</v>
      </c>
    </row>
    <row r="25" spans="1:19" ht="16.05" customHeight="1" x14ac:dyDescent="0.25">
      <c r="A25" s="19" t="s">
        <v>99</v>
      </c>
      <c r="B25" s="35">
        <v>22</v>
      </c>
      <c r="C25" s="20">
        <f t="shared" si="8"/>
        <v>2433455.1129795653</v>
      </c>
      <c r="D25" s="20">
        <f>IF(G24=0,0,IF(G24&lt;BondCalculator!$B$12,G24+E25,BondCalculator!$B$12))</f>
        <v>25804.709809401418</v>
      </c>
      <c r="E25" s="20">
        <f>C25*BondCalculator!$B$5/12</f>
        <v>22306.671868979349</v>
      </c>
      <c r="F25" s="20">
        <f t="shared" si="3"/>
        <v>3498.0379404220694</v>
      </c>
      <c r="G25" s="20">
        <f t="shared" si="4"/>
        <v>2429957.0750391432</v>
      </c>
      <c r="H25" s="26">
        <f t="shared" si="5"/>
        <v>0.97198283001565733</v>
      </c>
      <c r="J25" s="22">
        <f t="shared" si="6"/>
        <v>2387372.0846232628</v>
      </c>
      <c r="K25" s="22">
        <f>IF(N24=0,0,IF(N24&lt;BondCalculator!$B$12+BondCalculator!$B$7,N24+L25,BondCalculator!$B$12+BondCalculator!$B$7))</f>
        <v>27804.709809401418</v>
      </c>
      <c r="L25" s="22">
        <f>J25*BondCalculator!$B$5/12</f>
        <v>21884.244109046576</v>
      </c>
      <c r="M25" s="22">
        <f t="shared" si="7"/>
        <v>5920.4657003548418</v>
      </c>
      <c r="N25" s="22">
        <f t="shared" si="0"/>
        <v>2381451.6189229079</v>
      </c>
      <c r="P25" s="22">
        <f t="shared" si="1"/>
        <v>422.42775993277246</v>
      </c>
      <c r="Q25" s="23">
        <f>-PV(BondCalculator!$B$9/12,B25,0,1,0)</f>
        <v>0.89607970522180524</v>
      </c>
      <c r="S25" s="24">
        <f t="shared" si="2"/>
        <v>378.52894259806624</v>
      </c>
    </row>
    <row r="26" spans="1:19" ht="16.05" customHeight="1" x14ac:dyDescent="0.25">
      <c r="A26" s="19" t="s">
        <v>99</v>
      </c>
      <c r="B26" s="35">
        <v>23</v>
      </c>
      <c r="C26" s="20">
        <f t="shared" si="8"/>
        <v>2429957.0750391432</v>
      </c>
      <c r="D26" s="20">
        <f>IF(G25=0,0,IF(G25&lt;BondCalculator!$B$12,G25+E26,BondCalculator!$B$12))</f>
        <v>25804.709809401418</v>
      </c>
      <c r="E26" s="20">
        <f>C26*BondCalculator!$B$5/12</f>
        <v>22274.606521192149</v>
      </c>
      <c r="F26" s="20">
        <f t="shared" si="3"/>
        <v>3530.1032882092695</v>
      </c>
      <c r="G26" s="20">
        <f t="shared" si="4"/>
        <v>2426426.9717509341</v>
      </c>
      <c r="H26" s="26">
        <f t="shared" si="5"/>
        <v>0.97057078870037361</v>
      </c>
      <c r="J26" s="22">
        <f t="shared" si="6"/>
        <v>2381451.6189229079</v>
      </c>
      <c r="K26" s="22">
        <f>IF(N25=0,0,IF(N25&lt;BondCalculator!$B$12+BondCalculator!$B$7,N25+L26,BondCalculator!$B$12+BondCalculator!$B$7))</f>
        <v>27804.709809401418</v>
      </c>
      <c r="L26" s="22">
        <f>J26*BondCalculator!$B$5/12</f>
        <v>21829.973173459988</v>
      </c>
      <c r="M26" s="22">
        <f t="shared" si="7"/>
        <v>5974.73663594143</v>
      </c>
      <c r="N26" s="22">
        <f t="shared" si="0"/>
        <v>2375476.8822869663</v>
      </c>
      <c r="P26" s="22">
        <f t="shared" si="1"/>
        <v>444.63334773216047</v>
      </c>
      <c r="Q26" s="23">
        <f>-PV(BondCalculator!$B$9/12,B26,0,1,0)</f>
        <v>0.89162159723562728</v>
      </c>
      <c r="S26" s="24">
        <f t="shared" si="2"/>
        <v>396.44469568917299</v>
      </c>
    </row>
    <row r="27" spans="1:19" ht="16.05" customHeight="1" x14ac:dyDescent="0.25">
      <c r="A27" s="19" t="s">
        <v>99</v>
      </c>
      <c r="B27" s="35">
        <v>24</v>
      </c>
      <c r="C27" s="20">
        <f t="shared" si="8"/>
        <v>2426426.9717509341</v>
      </c>
      <c r="D27" s="20">
        <f>IF(G26=0,0,IF(G26&lt;BondCalculator!$B$12,G26+E27,BondCalculator!$B$12))</f>
        <v>25804.709809401418</v>
      </c>
      <c r="E27" s="20">
        <f>C27*BondCalculator!$B$5/12</f>
        <v>22242.247241050227</v>
      </c>
      <c r="F27" s="20">
        <f t="shared" si="3"/>
        <v>3562.4625683511913</v>
      </c>
      <c r="G27" s="20">
        <f t="shared" si="4"/>
        <v>2422864.5091825831</v>
      </c>
      <c r="H27" s="26">
        <f t="shared" si="5"/>
        <v>0.96914580367303327</v>
      </c>
      <c r="J27" s="22">
        <f t="shared" si="6"/>
        <v>2375476.8822869663</v>
      </c>
      <c r="K27" s="22">
        <f>IF(N26=0,0,IF(N26&lt;BondCalculator!$B$12+BondCalculator!$B$7,N26+L27,BondCalculator!$B$12+BondCalculator!$B$7))</f>
        <v>27804.709809401418</v>
      </c>
      <c r="L27" s="22">
        <f>J27*BondCalculator!$B$5/12</f>
        <v>21775.204754297192</v>
      </c>
      <c r="M27" s="22">
        <f t="shared" si="7"/>
        <v>6029.5050551042259</v>
      </c>
      <c r="N27" s="22">
        <f t="shared" si="0"/>
        <v>2369447.3772318619</v>
      </c>
      <c r="P27" s="22">
        <f t="shared" si="1"/>
        <v>467.04248675303461</v>
      </c>
      <c r="Q27" s="23">
        <f>-PV(BondCalculator!$B$9/12,B27,0,1,0)</f>
        <v>0.88718566889117134</v>
      </c>
      <c r="S27" s="24">
        <f t="shared" si="2"/>
        <v>414.35340101058705</v>
      </c>
    </row>
    <row r="28" spans="1:19" ht="16.05" customHeight="1" x14ac:dyDescent="0.25">
      <c r="A28" s="19" t="s">
        <v>100</v>
      </c>
      <c r="B28" s="35">
        <v>25</v>
      </c>
      <c r="C28" s="20">
        <f t="shared" si="8"/>
        <v>2422864.5091825831</v>
      </c>
      <c r="D28" s="20">
        <f>IF(G27=0,0,IF(G27&lt;BondCalculator!$B$12,G27+E28,BondCalculator!$B$12))</f>
        <v>25804.709809401418</v>
      </c>
      <c r="E28" s="20">
        <f>C28*BondCalculator!$B$5/12</f>
        <v>22209.591334173678</v>
      </c>
      <c r="F28" s="20">
        <f t="shared" si="3"/>
        <v>3595.1184752277404</v>
      </c>
      <c r="G28" s="20">
        <f t="shared" si="4"/>
        <v>2419269.3907073555</v>
      </c>
      <c r="H28" s="26">
        <f t="shared" si="5"/>
        <v>0.96770775628294214</v>
      </c>
      <c r="J28" s="22">
        <f t="shared" si="6"/>
        <v>2369447.3772318619</v>
      </c>
      <c r="K28" s="22">
        <f>IF(N27=0,0,IF(N27&lt;BondCalculator!$B$12+BondCalculator!$B$7,N27+L28,BondCalculator!$B$12+BondCalculator!$B$7))</f>
        <v>27804.709809401418</v>
      </c>
      <c r="L28" s="22">
        <f>J28*BondCalculator!$B$5/12</f>
        <v>21719.934291292066</v>
      </c>
      <c r="M28" s="22">
        <f t="shared" si="7"/>
        <v>6084.7755181093526</v>
      </c>
      <c r="N28" s="22">
        <f t="shared" si="0"/>
        <v>2363362.6017137524</v>
      </c>
      <c r="P28" s="22">
        <f t="shared" si="1"/>
        <v>489.65704288161214</v>
      </c>
      <c r="Q28" s="23">
        <f>-PV(BondCalculator!$B$9/12,B28,0,1,0)</f>
        <v>0.8827718098419618</v>
      </c>
      <c r="S28" s="24">
        <f t="shared" si="2"/>
        <v>432.25543394646382</v>
      </c>
    </row>
    <row r="29" spans="1:19" ht="16.05" customHeight="1" x14ac:dyDescent="0.25">
      <c r="A29" s="19" t="s">
        <v>100</v>
      </c>
      <c r="B29" s="35">
        <v>26</v>
      </c>
      <c r="C29" s="20">
        <f t="shared" si="8"/>
        <v>2419269.3907073555</v>
      </c>
      <c r="D29" s="20">
        <f>IF(G28=0,0,IF(G28&lt;BondCalculator!$B$12,G28+E29,BondCalculator!$B$12))</f>
        <v>25804.709809401418</v>
      </c>
      <c r="E29" s="20">
        <f>C29*BondCalculator!$B$5/12</f>
        <v>22176.636081484092</v>
      </c>
      <c r="F29" s="20">
        <f t="shared" si="3"/>
        <v>3628.0737279173263</v>
      </c>
      <c r="G29" s="20">
        <f t="shared" si="4"/>
        <v>2415641.3169794381</v>
      </c>
      <c r="H29" s="26">
        <f t="shared" si="5"/>
        <v>0.96625652679177521</v>
      </c>
      <c r="J29" s="22">
        <f t="shared" si="6"/>
        <v>2363362.6017137524</v>
      </c>
      <c r="K29" s="22">
        <f>IF(N28=0,0,IF(N28&lt;BondCalculator!$B$12+BondCalculator!$B$7,N28+L29,BondCalculator!$B$12+BondCalculator!$B$7))</f>
        <v>27804.709809401418</v>
      </c>
      <c r="L29" s="22">
        <f>J29*BondCalculator!$B$5/12</f>
        <v>21664.157182376064</v>
      </c>
      <c r="M29" s="22">
        <f t="shared" si="7"/>
        <v>6140.552627025354</v>
      </c>
      <c r="N29" s="22">
        <f t="shared" si="0"/>
        <v>2357222.0490867272</v>
      </c>
      <c r="P29" s="22">
        <f t="shared" si="1"/>
        <v>512.47889910802769</v>
      </c>
      <c r="Q29" s="23">
        <f>-PV(BondCalculator!$B$9/12,B29,0,1,0)</f>
        <v>0.87837991029050932</v>
      </c>
      <c r="S29" s="24">
        <f t="shared" si="2"/>
        <v>450.15116942428836</v>
      </c>
    </row>
    <row r="30" spans="1:19" ht="16.05" customHeight="1" x14ac:dyDescent="0.25">
      <c r="A30" s="19" t="s">
        <v>100</v>
      </c>
      <c r="B30" s="35">
        <v>27</v>
      </c>
      <c r="C30" s="20">
        <f t="shared" si="8"/>
        <v>2415641.3169794381</v>
      </c>
      <c r="D30" s="20">
        <f>IF(G29=0,0,IF(G29&lt;BondCalculator!$B$12,G29+E30,BondCalculator!$B$12))</f>
        <v>25804.709809401418</v>
      </c>
      <c r="E30" s="20">
        <f>C30*BondCalculator!$B$5/12</f>
        <v>22143.378738978183</v>
      </c>
      <c r="F30" s="20">
        <f t="shared" si="3"/>
        <v>3661.3310704232354</v>
      </c>
      <c r="G30" s="20">
        <f t="shared" si="4"/>
        <v>2411979.9859090149</v>
      </c>
      <c r="H30" s="26">
        <f t="shared" si="5"/>
        <v>0.96479199436360596</v>
      </c>
      <c r="J30" s="22">
        <f t="shared" si="6"/>
        <v>2357222.0490867272</v>
      </c>
      <c r="K30" s="22">
        <f>IF(N29=0,0,IF(N29&lt;BondCalculator!$B$12+BondCalculator!$B$7,N29+L30,BondCalculator!$B$12+BondCalculator!$B$7))</f>
        <v>27804.709809401418</v>
      </c>
      <c r="L30" s="22">
        <f>J30*BondCalculator!$B$5/12</f>
        <v>21607.868783294998</v>
      </c>
      <c r="M30" s="22">
        <f t="shared" si="7"/>
        <v>6196.84102610642</v>
      </c>
      <c r="N30" s="22">
        <f t="shared" si="0"/>
        <v>2351025.2080606208</v>
      </c>
      <c r="P30" s="22">
        <f t="shared" si="1"/>
        <v>535.50995568318467</v>
      </c>
      <c r="Q30" s="23">
        <f>-PV(BondCalculator!$B$9/12,B30,0,1,0)</f>
        <v>0.87400986098558153</v>
      </c>
      <c r="S30" s="24">
        <f t="shared" si="2"/>
        <v>468.04098192305514</v>
      </c>
    </row>
    <row r="31" spans="1:19" ht="16.05" customHeight="1" x14ac:dyDescent="0.25">
      <c r="A31" s="19" t="s">
        <v>100</v>
      </c>
      <c r="B31" s="35">
        <v>28</v>
      </c>
      <c r="C31" s="20">
        <f t="shared" si="8"/>
        <v>2411979.9859090149</v>
      </c>
      <c r="D31" s="20">
        <f>IF(G30=0,0,IF(G30&lt;BondCalculator!$B$12,G30+E31,BondCalculator!$B$12))</f>
        <v>25804.709809401418</v>
      </c>
      <c r="E31" s="20">
        <f>C31*BondCalculator!$B$5/12</f>
        <v>22109.8165374993</v>
      </c>
      <c r="F31" s="20">
        <f t="shared" si="3"/>
        <v>3694.8932719021177</v>
      </c>
      <c r="G31" s="20">
        <f t="shared" si="4"/>
        <v>2408285.0926371128</v>
      </c>
      <c r="H31" s="26">
        <f t="shared" si="5"/>
        <v>0.96331403705484508</v>
      </c>
      <c r="J31" s="22">
        <f t="shared" si="6"/>
        <v>2351025.2080606208</v>
      </c>
      <c r="K31" s="22">
        <f>IF(N30=0,0,IF(N30&lt;BondCalculator!$B$12+BondCalculator!$B$7,N30+L31,BondCalculator!$B$12+BondCalculator!$B$7))</f>
        <v>27804.709809401418</v>
      </c>
      <c r="L31" s="22">
        <f>J31*BondCalculator!$B$5/12</f>
        <v>21551.064407222359</v>
      </c>
      <c r="M31" s="22">
        <f t="shared" si="7"/>
        <v>6253.6454021790596</v>
      </c>
      <c r="N31" s="22">
        <f t="shared" si="0"/>
        <v>2344771.5626584417</v>
      </c>
      <c r="P31" s="22">
        <f t="shared" si="1"/>
        <v>558.7521302769419</v>
      </c>
      <c r="Q31" s="23">
        <f>-PV(BondCalculator!$B$9/12,B31,0,1,0)</f>
        <v>0.86966155321948435</v>
      </c>
      <c r="S31" s="24">
        <f t="shared" si="2"/>
        <v>485.92524548134094</v>
      </c>
    </row>
    <row r="32" spans="1:19" ht="16.05" customHeight="1" x14ac:dyDescent="0.25">
      <c r="A32" s="19" t="s">
        <v>100</v>
      </c>
      <c r="B32" s="35">
        <v>29</v>
      </c>
      <c r="C32" s="20">
        <f t="shared" si="8"/>
        <v>2408285.0926371128</v>
      </c>
      <c r="D32" s="20">
        <f>IF(G31=0,0,IF(G31&lt;BondCalculator!$B$12,G31+E32,BondCalculator!$B$12))</f>
        <v>25804.709809401418</v>
      </c>
      <c r="E32" s="20">
        <f>C32*BondCalculator!$B$5/12</f>
        <v>22075.946682506867</v>
      </c>
      <c r="F32" s="20">
        <f t="shared" si="3"/>
        <v>3728.7631268945515</v>
      </c>
      <c r="G32" s="20">
        <f t="shared" si="4"/>
        <v>2404556.3295102185</v>
      </c>
      <c r="H32" s="26">
        <f t="shared" si="5"/>
        <v>0.96182253180408739</v>
      </c>
      <c r="J32" s="22">
        <f t="shared" si="6"/>
        <v>2344771.5626584417</v>
      </c>
      <c r="K32" s="22">
        <f>IF(N31=0,0,IF(N31&lt;BondCalculator!$B$12+BondCalculator!$B$7,N31+L32,BondCalculator!$B$12+BondCalculator!$B$7))</f>
        <v>27804.709809401418</v>
      </c>
      <c r="L32" s="22">
        <f>J32*BondCalculator!$B$5/12</f>
        <v>21493.739324369049</v>
      </c>
      <c r="M32" s="22">
        <f t="shared" si="7"/>
        <v>6310.9704850323687</v>
      </c>
      <c r="N32" s="22">
        <f t="shared" si="0"/>
        <v>2338460.5921734092</v>
      </c>
      <c r="P32" s="22">
        <f t="shared" si="1"/>
        <v>582.20735813781721</v>
      </c>
      <c r="Q32" s="23">
        <f>-PV(BondCalculator!$B$9/12,B32,0,1,0)</f>
        <v>0.86533487882535765</v>
      </c>
      <c r="S32" s="24">
        <f t="shared" si="2"/>
        <v>503.80433370541965</v>
      </c>
    </row>
    <row r="33" spans="1:19" ht="16.05" customHeight="1" x14ac:dyDescent="0.25">
      <c r="A33" s="19" t="s">
        <v>100</v>
      </c>
      <c r="B33" s="35">
        <v>30</v>
      </c>
      <c r="C33" s="20">
        <f t="shared" si="8"/>
        <v>2404556.3295102185</v>
      </c>
      <c r="D33" s="20">
        <f>IF(G32=0,0,IF(G32&lt;BondCalculator!$B$12,G32+E33,BondCalculator!$B$12))</f>
        <v>25804.709809401418</v>
      </c>
      <c r="E33" s="20">
        <f>C33*BondCalculator!$B$5/12</f>
        <v>22041.766353843672</v>
      </c>
      <c r="F33" s="20">
        <f t="shared" si="3"/>
        <v>3762.9434555577463</v>
      </c>
      <c r="G33" s="20">
        <f t="shared" si="4"/>
        <v>2400793.3860546607</v>
      </c>
      <c r="H33" s="26">
        <f t="shared" si="5"/>
        <v>0.96031735442186428</v>
      </c>
      <c r="J33" s="22">
        <f t="shared" si="6"/>
        <v>2338460.5921734092</v>
      </c>
      <c r="K33" s="22">
        <f>IF(N32=0,0,IF(N32&lt;BondCalculator!$B$12+BondCalculator!$B$7,N32+L33,BondCalculator!$B$12+BondCalculator!$B$7))</f>
        <v>27804.709809401418</v>
      </c>
      <c r="L33" s="22">
        <f>J33*BondCalculator!$B$5/12</f>
        <v>21435.888761589584</v>
      </c>
      <c r="M33" s="22">
        <f t="shared" si="7"/>
        <v>6368.8210478118344</v>
      </c>
      <c r="N33" s="22">
        <f t="shared" si="0"/>
        <v>2332091.7711255974</v>
      </c>
      <c r="P33" s="22">
        <f t="shared" si="1"/>
        <v>605.87759225408809</v>
      </c>
      <c r="Q33" s="23">
        <f>-PV(BondCalculator!$B$9/12,B33,0,1,0)</f>
        <v>0.86102973017448536</v>
      </c>
      <c r="S33" s="24">
        <f t="shared" si="2"/>
        <v>521.67861977730433</v>
      </c>
    </row>
    <row r="34" spans="1:19" ht="16.05" customHeight="1" x14ac:dyDescent="0.25">
      <c r="A34" s="19" t="s">
        <v>100</v>
      </c>
      <c r="B34" s="35">
        <v>31</v>
      </c>
      <c r="C34" s="20">
        <f t="shared" si="8"/>
        <v>2400793.3860546607</v>
      </c>
      <c r="D34" s="20">
        <f>IF(G33=0,0,IF(G33&lt;BondCalculator!$B$12,G33+E34,BondCalculator!$B$12))</f>
        <v>25804.709809401418</v>
      </c>
      <c r="E34" s="20">
        <f>C34*BondCalculator!$B$5/12</f>
        <v>22007.272705501058</v>
      </c>
      <c r="F34" s="20">
        <f t="shared" si="3"/>
        <v>3797.4371039003599</v>
      </c>
      <c r="G34" s="20">
        <f t="shared" si="4"/>
        <v>2396995.9489507601</v>
      </c>
      <c r="H34" s="26">
        <f t="shared" si="5"/>
        <v>0.95879837958030401</v>
      </c>
      <c r="J34" s="22">
        <f t="shared" si="6"/>
        <v>2332091.7711255974</v>
      </c>
      <c r="K34" s="22">
        <f>IF(N33=0,0,IF(N33&lt;BondCalculator!$B$12+BondCalculator!$B$7,N33+L34,BondCalculator!$B$12+BondCalculator!$B$7))</f>
        <v>27804.709809401418</v>
      </c>
      <c r="L34" s="22">
        <f>J34*BondCalculator!$B$5/12</f>
        <v>21377.507901984642</v>
      </c>
      <c r="M34" s="22">
        <f t="shared" si="7"/>
        <v>6427.2019074167765</v>
      </c>
      <c r="N34" s="22">
        <f t="shared" si="0"/>
        <v>2325664.5692181806</v>
      </c>
      <c r="P34" s="22">
        <f t="shared" si="1"/>
        <v>629.76480351641658</v>
      </c>
      <c r="Q34" s="23">
        <f>-PV(BondCalculator!$B$9/12,B34,0,1,0)</f>
        <v>0.85674600017361746</v>
      </c>
      <c r="S34" s="24">
        <f t="shared" si="2"/>
        <v>539.54847646281405</v>
      </c>
    </row>
    <row r="35" spans="1:19" ht="16.05" customHeight="1" x14ac:dyDescent="0.25">
      <c r="A35" s="19" t="s">
        <v>100</v>
      </c>
      <c r="B35" s="35">
        <v>32</v>
      </c>
      <c r="C35" s="20">
        <f t="shared" si="8"/>
        <v>2396995.9489507601</v>
      </c>
      <c r="D35" s="20">
        <f>IF(G34=0,0,IF(G34&lt;BondCalculator!$B$12,G34+E35,BondCalculator!$B$12))</f>
        <v>25804.709809401418</v>
      </c>
      <c r="E35" s="20">
        <f>C35*BondCalculator!$B$5/12</f>
        <v>21972.462865381967</v>
      </c>
      <c r="F35" s="20">
        <f t="shared" si="3"/>
        <v>3832.2469440194509</v>
      </c>
      <c r="G35" s="20">
        <f t="shared" si="4"/>
        <v>2393163.7020067405</v>
      </c>
      <c r="H35" s="26">
        <f t="shared" si="5"/>
        <v>0.95726548080269624</v>
      </c>
      <c r="J35" s="22">
        <f t="shared" si="6"/>
        <v>2325664.5692181806</v>
      </c>
      <c r="K35" s="22">
        <f>IF(N34=0,0,IF(N34&lt;BondCalculator!$B$12+BondCalculator!$B$7,N34+L35,BondCalculator!$B$12+BondCalculator!$B$7))</f>
        <v>27804.709809401418</v>
      </c>
      <c r="L35" s="22">
        <f>J35*BondCalculator!$B$5/12</f>
        <v>21318.591884499987</v>
      </c>
      <c r="M35" s="22">
        <f t="shared" si="7"/>
        <v>6486.1179249014313</v>
      </c>
      <c r="N35" s="22">
        <f t="shared" si="0"/>
        <v>2319178.451293279</v>
      </c>
      <c r="P35" s="22">
        <f t="shared" si="1"/>
        <v>653.87098088198036</v>
      </c>
      <c r="Q35" s="23">
        <f>-PV(BondCalculator!$B$9/12,B35,0,1,0)</f>
        <v>0.85248358226230603</v>
      </c>
      <c r="S35" s="24">
        <f t="shared" si="2"/>
        <v>557.41427611963843</v>
      </c>
    </row>
    <row r="36" spans="1:19" ht="16.05" customHeight="1" x14ac:dyDescent="0.25">
      <c r="A36" s="19" t="s">
        <v>100</v>
      </c>
      <c r="B36" s="35">
        <v>33</v>
      </c>
      <c r="C36" s="20">
        <f t="shared" si="8"/>
        <v>2393163.7020067405</v>
      </c>
      <c r="D36" s="20">
        <f>IF(G35=0,0,IF(G35&lt;BondCalculator!$B$12,G35+E36,BondCalculator!$B$12))</f>
        <v>25804.709809401418</v>
      </c>
      <c r="E36" s="20">
        <f>C36*BondCalculator!$B$5/12</f>
        <v>21937.33393506179</v>
      </c>
      <c r="F36" s="20">
        <f t="shared" si="3"/>
        <v>3867.3758743396284</v>
      </c>
      <c r="G36" s="20">
        <f t="shared" si="4"/>
        <v>2389296.3261324009</v>
      </c>
      <c r="H36" s="26">
        <f t="shared" si="5"/>
        <v>0.9557185304529604</v>
      </c>
      <c r="J36" s="22">
        <f t="shared" si="6"/>
        <v>2319178.451293279</v>
      </c>
      <c r="K36" s="22">
        <f>IF(N35=0,0,IF(N35&lt;BondCalculator!$B$12+BondCalculator!$B$7,N35+L36,BondCalculator!$B$12+BondCalculator!$B$7))</f>
        <v>27804.709809401418</v>
      </c>
      <c r="L36" s="22">
        <f>J36*BondCalculator!$B$5/12</f>
        <v>21259.135803521724</v>
      </c>
      <c r="M36" s="22">
        <f t="shared" si="7"/>
        <v>6545.5740058796946</v>
      </c>
      <c r="N36" s="22">
        <f t="shared" si="0"/>
        <v>2312632.877287399</v>
      </c>
      <c r="P36" s="22">
        <f t="shared" si="1"/>
        <v>678.19813154006624</v>
      </c>
      <c r="Q36" s="23">
        <f>-PV(BondCalculator!$B$9/12,B36,0,1,0)</f>
        <v>0.84824237041025496</v>
      </c>
      <c r="S36" s="24">
        <f t="shared" si="2"/>
        <v>575.27639070535167</v>
      </c>
    </row>
    <row r="37" spans="1:19" ht="16.05" customHeight="1" x14ac:dyDescent="0.25">
      <c r="A37" s="19" t="s">
        <v>100</v>
      </c>
      <c r="B37" s="35">
        <v>34</v>
      </c>
      <c r="C37" s="20">
        <f t="shared" si="8"/>
        <v>2389296.3261324009</v>
      </c>
      <c r="D37" s="20">
        <f>IF(G36=0,0,IF(G36&lt;BondCalculator!$B$12,G36+E37,BondCalculator!$B$12))</f>
        <v>25804.709809401418</v>
      </c>
      <c r="E37" s="20">
        <f>C37*BondCalculator!$B$5/12</f>
        <v>21901.882989547008</v>
      </c>
      <c r="F37" s="20">
        <f t="shared" si="3"/>
        <v>3902.8268198544101</v>
      </c>
      <c r="G37" s="20">
        <f t="shared" si="4"/>
        <v>2385393.4993125466</v>
      </c>
      <c r="H37" s="26">
        <f t="shared" si="5"/>
        <v>0.95415739972501867</v>
      </c>
      <c r="J37" s="22">
        <f t="shared" si="6"/>
        <v>2312632.877287399</v>
      </c>
      <c r="K37" s="22">
        <f>IF(N36=0,0,IF(N36&lt;BondCalculator!$B$12+BondCalculator!$B$7,N36+L37,BondCalculator!$B$12+BondCalculator!$B$7))</f>
        <v>27804.709809401418</v>
      </c>
      <c r="L37" s="22">
        <f>J37*BondCalculator!$B$5/12</f>
        <v>21199.134708467824</v>
      </c>
      <c r="M37" s="22">
        <f t="shared" si="7"/>
        <v>6605.5751009335945</v>
      </c>
      <c r="N37" s="22">
        <f t="shared" si="0"/>
        <v>2306027.3021864654</v>
      </c>
      <c r="P37" s="22">
        <f t="shared" si="1"/>
        <v>702.74828107918438</v>
      </c>
      <c r="Q37" s="23">
        <f>-PV(BondCalculator!$B$9/12,B37,0,1,0)</f>
        <v>0.84402225911468165</v>
      </c>
      <c r="S37" s="24">
        <f t="shared" si="2"/>
        <v>593.13519178541253</v>
      </c>
    </row>
    <row r="38" spans="1:19" ht="16.05" customHeight="1" x14ac:dyDescent="0.25">
      <c r="A38" s="19" t="s">
        <v>100</v>
      </c>
      <c r="B38" s="35">
        <v>35</v>
      </c>
      <c r="C38" s="20">
        <f t="shared" si="8"/>
        <v>2385393.4993125466</v>
      </c>
      <c r="D38" s="20">
        <f>IF(G37=0,0,IF(G37&lt;BondCalculator!$B$12,G37+E38,BondCalculator!$B$12))</f>
        <v>25804.709809401418</v>
      </c>
      <c r="E38" s="20">
        <f>C38*BondCalculator!$B$5/12</f>
        <v>21866.107077031676</v>
      </c>
      <c r="F38" s="20">
        <f t="shared" si="3"/>
        <v>3938.6027323697417</v>
      </c>
      <c r="G38" s="20">
        <f t="shared" si="4"/>
        <v>2381454.8965801769</v>
      </c>
      <c r="H38" s="26">
        <f t="shared" si="5"/>
        <v>0.95258195863207074</v>
      </c>
      <c r="J38" s="22">
        <f t="shared" si="6"/>
        <v>2306027.3021864654</v>
      </c>
      <c r="K38" s="22">
        <f>IF(N37=0,0,IF(N37&lt;BondCalculator!$B$12+BondCalculator!$B$7,N37+L38,BondCalculator!$B$12+BondCalculator!$B$7))</f>
        <v>27804.709809401418</v>
      </c>
      <c r="L38" s="22">
        <f>J38*BondCalculator!$B$5/12</f>
        <v>21138.583603375933</v>
      </c>
      <c r="M38" s="22">
        <f t="shared" si="7"/>
        <v>6666.1262060254849</v>
      </c>
      <c r="N38" s="22">
        <f t="shared" si="0"/>
        <v>2299361.1759804399</v>
      </c>
      <c r="P38" s="22">
        <f t="shared" si="1"/>
        <v>727.52347365574315</v>
      </c>
      <c r="Q38" s="23">
        <f>-PV(BondCalculator!$B$9/12,B38,0,1,0)</f>
        <v>0.83982314339769315</v>
      </c>
      <c r="S38" s="24">
        <f t="shared" si="2"/>
        <v>610.99105054117501</v>
      </c>
    </row>
    <row r="39" spans="1:19" ht="16.05" customHeight="1" x14ac:dyDescent="0.25">
      <c r="A39" s="19" t="s">
        <v>100</v>
      </c>
      <c r="B39" s="35">
        <v>36</v>
      </c>
      <c r="C39" s="20">
        <f t="shared" si="8"/>
        <v>2381454.8965801769</v>
      </c>
      <c r="D39" s="20">
        <f>IF(G38=0,0,IF(G38&lt;BondCalculator!$B$12,G38+E39,BondCalculator!$B$12))</f>
        <v>25804.709809401418</v>
      </c>
      <c r="E39" s="20">
        <f>C39*BondCalculator!$B$5/12</f>
        <v>21830.003218651622</v>
      </c>
      <c r="F39" s="20">
        <f t="shared" si="3"/>
        <v>3974.7065907497963</v>
      </c>
      <c r="G39" s="20">
        <f t="shared" si="4"/>
        <v>2377480.1899894271</v>
      </c>
      <c r="H39" s="26">
        <f t="shared" si="5"/>
        <v>0.95099207599577085</v>
      </c>
      <c r="J39" s="22">
        <f t="shared" si="6"/>
        <v>2299361.1759804399</v>
      </c>
      <c r="K39" s="22">
        <f>IF(N38=0,0,IF(N38&lt;BondCalculator!$B$12+BondCalculator!$B$7,N38+L39,BondCalculator!$B$12+BondCalculator!$B$7))</f>
        <v>27804.709809401418</v>
      </c>
      <c r="L39" s="22">
        <f>J39*BondCalculator!$B$5/12</f>
        <v>21077.477446487366</v>
      </c>
      <c r="M39" s="22">
        <f t="shared" si="7"/>
        <v>6727.2323629140519</v>
      </c>
      <c r="N39" s="22">
        <f t="shared" si="0"/>
        <v>2292633.943617526</v>
      </c>
      <c r="P39" s="22">
        <f t="shared" si="1"/>
        <v>752.52577216425561</v>
      </c>
      <c r="Q39" s="23">
        <f>-PV(BondCalculator!$B$9/12,B39,0,1,0)</f>
        <v>0.83564491880367509</v>
      </c>
      <c r="S39" s="24">
        <f t="shared" si="2"/>
        <v>628.84433777787228</v>
      </c>
    </row>
    <row r="40" spans="1:19" ht="16.05" customHeight="1" x14ac:dyDescent="0.25">
      <c r="A40" s="19" t="s">
        <v>101</v>
      </c>
      <c r="B40" s="35">
        <v>37</v>
      </c>
      <c r="C40" s="20">
        <f t="shared" si="8"/>
        <v>2377480.1899894271</v>
      </c>
      <c r="D40" s="20">
        <f>IF(G39=0,0,IF(G39&lt;BondCalculator!$B$12,G39+E40,BondCalculator!$B$12))</f>
        <v>25804.709809401418</v>
      </c>
      <c r="E40" s="20">
        <f>C40*BondCalculator!$B$5/12</f>
        <v>21793.568408236413</v>
      </c>
      <c r="F40" s="20">
        <f t="shared" si="3"/>
        <v>4011.1414011650049</v>
      </c>
      <c r="G40" s="20">
        <f t="shared" si="4"/>
        <v>2373469.0485882619</v>
      </c>
      <c r="H40" s="26">
        <f t="shared" si="5"/>
        <v>0.94938761943530481</v>
      </c>
      <c r="J40" s="22">
        <f t="shared" si="6"/>
        <v>2292633.943617526</v>
      </c>
      <c r="K40" s="22">
        <f>IF(N39=0,0,IF(N39&lt;BondCalculator!$B$12+BondCalculator!$B$7,N39+L40,BondCalculator!$B$12+BondCalculator!$B$7))</f>
        <v>27804.709809401418</v>
      </c>
      <c r="L40" s="22">
        <f>J40*BondCalculator!$B$5/12</f>
        <v>21015.811149827321</v>
      </c>
      <c r="M40" s="22">
        <f t="shared" si="7"/>
        <v>6788.8986595740971</v>
      </c>
      <c r="N40" s="22">
        <f t="shared" si="0"/>
        <v>2285845.0449579521</v>
      </c>
      <c r="P40" s="22">
        <f t="shared" si="1"/>
        <v>777.75725840909217</v>
      </c>
      <c r="Q40" s="23">
        <f>-PV(BondCalculator!$B$9/12,B40,0,1,0)</f>
        <v>0.83148748139669182</v>
      </c>
      <c r="S40" s="24">
        <f t="shared" si="2"/>
        <v>646.69542393257211</v>
      </c>
    </row>
    <row r="41" spans="1:19" ht="16.05" customHeight="1" x14ac:dyDescent="0.25">
      <c r="A41" s="19" t="s">
        <v>101</v>
      </c>
      <c r="B41" s="35">
        <v>38</v>
      </c>
      <c r="C41" s="20">
        <f t="shared" si="8"/>
        <v>2373469.0485882619</v>
      </c>
      <c r="D41" s="20">
        <f>IF(G40=0,0,IF(G40&lt;BondCalculator!$B$12,G40+E41,BondCalculator!$B$12))</f>
        <v>25804.709809401418</v>
      </c>
      <c r="E41" s="20">
        <f>C41*BondCalculator!$B$5/12</f>
        <v>21756.799612059069</v>
      </c>
      <c r="F41" s="20">
        <f t="shared" si="3"/>
        <v>4047.9101973423494</v>
      </c>
      <c r="G41" s="20">
        <f t="shared" si="4"/>
        <v>2369421.1383909197</v>
      </c>
      <c r="H41" s="26">
        <f t="shared" si="5"/>
        <v>0.94776845535636789</v>
      </c>
      <c r="J41" s="22">
        <f t="shared" si="6"/>
        <v>2285845.0449579521</v>
      </c>
      <c r="K41" s="22">
        <f>IF(N40=0,0,IF(N40&lt;BondCalculator!$B$12+BondCalculator!$B$7,N40+L41,BondCalculator!$B$12+BondCalculator!$B$7))</f>
        <v>27804.709809401418</v>
      </c>
      <c r="L41" s="22">
        <f>J41*BondCalculator!$B$5/12</f>
        <v>20953.579578781228</v>
      </c>
      <c r="M41" s="22">
        <f t="shared" si="7"/>
        <v>6851.1302306201906</v>
      </c>
      <c r="N41" s="22">
        <f t="shared" si="0"/>
        <v>2278993.9147273321</v>
      </c>
      <c r="P41" s="22">
        <f t="shared" si="1"/>
        <v>803.22003327784114</v>
      </c>
      <c r="Q41" s="23">
        <f>-PV(BondCalculator!$B$9/12,B41,0,1,0)</f>
        <v>0.8273507277579023</v>
      </c>
      <c r="S41" s="24">
        <f t="shared" si="2"/>
        <v>664.54467908214838</v>
      </c>
    </row>
    <row r="42" spans="1:19" ht="16.05" customHeight="1" x14ac:dyDescent="0.25">
      <c r="A42" s="19" t="s">
        <v>101</v>
      </c>
      <c r="B42" s="35">
        <v>39</v>
      </c>
      <c r="C42" s="20">
        <f t="shared" si="8"/>
        <v>2369421.1383909197</v>
      </c>
      <c r="D42" s="20">
        <f>IF(G41=0,0,IF(G41&lt;BondCalculator!$B$12,G41+E42,BondCalculator!$B$12))</f>
        <v>25804.709809401418</v>
      </c>
      <c r="E42" s="20">
        <f>C42*BondCalculator!$B$5/12</f>
        <v>21719.693768583431</v>
      </c>
      <c r="F42" s="20">
        <f t="shared" si="3"/>
        <v>4085.0160408179872</v>
      </c>
      <c r="G42" s="20">
        <f t="shared" si="4"/>
        <v>2365336.1223501018</v>
      </c>
      <c r="H42" s="26">
        <f t="shared" si="5"/>
        <v>0.94613444894004073</v>
      </c>
      <c r="J42" s="22">
        <f t="shared" si="6"/>
        <v>2278993.9147273321</v>
      </c>
      <c r="K42" s="22">
        <f>IF(N41=0,0,IF(N41&lt;BondCalculator!$B$12+BondCalculator!$B$7,N41+L42,BondCalculator!$B$12+BondCalculator!$B$7))</f>
        <v>27804.709809401418</v>
      </c>
      <c r="L42" s="22">
        <f>J42*BondCalculator!$B$5/12</f>
        <v>20890.777551667212</v>
      </c>
      <c r="M42" s="22">
        <f t="shared" si="7"/>
        <v>6913.9322577342064</v>
      </c>
      <c r="N42" s="22">
        <f t="shared" si="0"/>
        <v>2272079.9824695978</v>
      </c>
      <c r="P42" s="22">
        <f t="shared" si="1"/>
        <v>828.91621691621913</v>
      </c>
      <c r="Q42" s="23">
        <f>-PV(BondCalculator!$B$9/12,B42,0,1,0)</f>
        <v>0.82323455498298748</v>
      </c>
      <c r="S42" s="24">
        <f t="shared" si="2"/>
        <v>682.39247295120515</v>
      </c>
    </row>
    <row r="43" spans="1:19" ht="16.05" customHeight="1" x14ac:dyDescent="0.25">
      <c r="A43" s="19" t="s">
        <v>101</v>
      </c>
      <c r="B43" s="35">
        <v>40</v>
      </c>
      <c r="C43" s="20">
        <f t="shared" si="8"/>
        <v>2365336.1223501018</v>
      </c>
      <c r="D43" s="20">
        <f>IF(G42=0,0,IF(G42&lt;BondCalculator!$B$12,G42+E43,BondCalculator!$B$12))</f>
        <v>25804.709809401418</v>
      </c>
      <c r="E43" s="20">
        <f>C43*BondCalculator!$B$5/12</f>
        <v>21682.247788209268</v>
      </c>
      <c r="F43" s="20">
        <f t="shared" si="3"/>
        <v>4122.4620211921501</v>
      </c>
      <c r="G43" s="20">
        <f t="shared" si="4"/>
        <v>2361213.6603289098</v>
      </c>
      <c r="H43" s="26">
        <f t="shared" si="5"/>
        <v>0.94448546413156387</v>
      </c>
      <c r="J43" s="22">
        <f t="shared" si="6"/>
        <v>2272079.9824695978</v>
      </c>
      <c r="K43" s="22">
        <f>IF(N42=0,0,IF(N42&lt;BondCalculator!$B$12+BondCalculator!$B$7,N42+L43,BondCalculator!$B$12+BondCalculator!$B$7))</f>
        <v>27804.709809401418</v>
      </c>
      <c r="L43" s="22">
        <f>J43*BondCalculator!$B$5/12</f>
        <v>20827.399839304646</v>
      </c>
      <c r="M43" s="22">
        <f t="shared" si="7"/>
        <v>6977.3099700967723</v>
      </c>
      <c r="N43" s="22">
        <f t="shared" si="0"/>
        <v>2265102.6724995011</v>
      </c>
      <c r="P43" s="22">
        <f t="shared" si="1"/>
        <v>854.84794890462217</v>
      </c>
      <c r="Q43" s="23">
        <f>-PV(BondCalculator!$B$9/12,B43,0,1,0)</f>
        <v>0.81913886067958963</v>
      </c>
      <c r="S43" s="24">
        <f t="shared" si="2"/>
        <v>700.23917492001624</v>
      </c>
    </row>
    <row r="44" spans="1:19" ht="16.05" customHeight="1" x14ac:dyDescent="0.25">
      <c r="A44" s="19" t="s">
        <v>101</v>
      </c>
      <c r="B44" s="35">
        <v>41</v>
      </c>
      <c r="C44" s="20">
        <f t="shared" si="8"/>
        <v>2361213.6603289098</v>
      </c>
      <c r="D44" s="20">
        <f>IF(G43=0,0,IF(G43&lt;BondCalculator!$B$12,G43+E44,BondCalculator!$B$12))</f>
        <v>25804.709809401418</v>
      </c>
      <c r="E44" s="20">
        <f>C44*BondCalculator!$B$5/12</f>
        <v>21644.458553015007</v>
      </c>
      <c r="F44" s="20">
        <f t="shared" si="3"/>
        <v>4160.2512563864111</v>
      </c>
      <c r="G44" s="20">
        <f t="shared" si="4"/>
        <v>2357053.4090725235</v>
      </c>
      <c r="H44" s="26">
        <f t="shared" si="5"/>
        <v>0.94282136362900937</v>
      </c>
      <c r="J44" s="22">
        <f t="shared" si="6"/>
        <v>2265102.6724995011</v>
      </c>
      <c r="K44" s="22">
        <f>IF(N43=0,0,IF(N43&lt;BondCalculator!$B$12+BondCalculator!$B$7,N43+L44,BondCalculator!$B$12+BondCalculator!$B$7))</f>
        <v>27804.709809401418</v>
      </c>
      <c r="L44" s="22">
        <f>J44*BondCalculator!$B$5/12</f>
        <v>20763.441164578759</v>
      </c>
      <c r="M44" s="22">
        <f t="shared" si="7"/>
        <v>7041.2686448226596</v>
      </c>
      <c r="N44" s="22">
        <f t="shared" si="0"/>
        <v>2258061.4038546784</v>
      </c>
      <c r="P44" s="22">
        <f t="shared" si="1"/>
        <v>881.01738843624844</v>
      </c>
      <c r="Q44" s="23">
        <f>-PV(BondCalculator!$B$9/12,B44,0,1,0)</f>
        <v>0.81506354296476591</v>
      </c>
      <c r="S44" s="24">
        <f t="shared" si="2"/>
        <v>718.08515403241404</v>
      </c>
    </row>
    <row r="45" spans="1:19" ht="16.05" customHeight="1" x14ac:dyDescent="0.25">
      <c r="A45" s="19" t="s">
        <v>101</v>
      </c>
      <c r="B45" s="35">
        <v>42</v>
      </c>
      <c r="C45" s="20">
        <f t="shared" si="8"/>
        <v>2357053.4090725235</v>
      </c>
      <c r="D45" s="20">
        <f>IF(G44=0,0,IF(G44&lt;BondCalculator!$B$12,G44+E45,BondCalculator!$B$12))</f>
        <v>25804.709809401418</v>
      </c>
      <c r="E45" s="20">
        <f>C45*BondCalculator!$B$5/12</f>
        <v>21606.322916498131</v>
      </c>
      <c r="F45" s="20">
        <f t="shared" si="3"/>
        <v>4198.3868929032869</v>
      </c>
      <c r="G45" s="20">
        <f t="shared" si="4"/>
        <v>2352855.0221796203</v>
      </c>
      <c r="H45" s="26">
        <f t="shared" si="5"/>
        <v>0.94114200887184818</v>
      </c>
      <c r="J45" s="22">
        <f t="shared" si="6"/>
        <v>2258061.4038546784</v>
      </c>
      <c r="K45" s="22">
        <f>IF(N44=0,0,IF(N44&lt;BondCalculator!$B$12+BondCalculator!$B$7,N44+L45,BondCalculator!$B$12+BondCalculator!$B$7))</f>
        <v>27804.709809401418</v>
      </c>
      <c r="L45" s="22">
        <f>J45*BondCalculator!$B$5/12</f>
        <v>20698.896202001219</v>
      </c>
      <c r="M45" s="22">
        <f t="shared" si="7"/>
        <v>7105.8136074001995</v>
      </c>
      <c r="N45" s="22">
        <f t="shared" si="0"/>
        <v>2250955.5902472781</v>
      </c>
      <c r="P45" s="22">
        <f t="shared" si="1"/>
        <v>907.42671449691261</v>
      </c>
      <c r="Q45" s="23">
        <f>-PV(BondCalculator!$B$9/12,B45,0,1,0)</f>
        <v>0.81100850046245387</v>
      </c>
      <c r="S45" s="24">
        <f t="shared" si="2"/>
        <v>735.93077900371236</v>
      </c>
    </row>
    <row r="46" spans="1:19" ht="16.05" customHeight="1" x14ac:dyDescent="0.25">
      <c r="A46" s="19" t="s">
        <v>101</v>
      </c>
      <c r="B46" s="35">
        <v>43</v>
      </c>
      <c r="C46" s="20">
        <f t="shared" si="8"/>
        <v>2352855.0221796203</v>
      </c>
      <c r="D46" s="20">
        <f>IF(G45=0,0,IF(G45&lt;BondCalculator!$B$12,G45+E46,BondCalculator!$B$12))</f>
        <v>25804.709809401418</v>
      </c>
      <c r="E46" s="20">
        <f>C46*BondCalculator!$B$5/12</f>
        <v>21567.837703313187</v>
      </c>
      <c r="F46" s="20">
        <f t="shared" si="3"/>
        <v>4236.8721060882308</v>
      </c>
      <c r="G46" s="20">
        <f t="shared" si="4"/>
        <v>2348618.150073532</v>
      </c>
      <c r="H46" s="26">
        <f t="shared" si="5"/>
        <v>0.93944726002941281</v>
      </c>
      <c r="J46" s="22">
        <f t="shared" si="6"/>
        <v>2250955.5902472781</v>
      </c>
      <c r="K46" s="22">
        <f>IF(N45=0,0,IF(N45&lt;BondCalculator!$B$12+BondCalculator!$B$7,N45+L46,BondCalculator!$B$12+BondCalculator!$B$7))</f>
        <v>27804.709809401418</v>
      </c>
      <c r="L46" s="22">
        <f>J46*BondCalculator!$B$5/12</f>
        <v>20633.759577266715</v>
      </c>
      <c r="M46" s="22">
        <f t="shared" si="7"/>
        <v>7170.9502321347027</v>
      </c>
      <c r="N46" s="22">
        <f t="shared" si="0"/>
        <v>2243784.6400151434</v>
      </c>
      <c r="P46" s="22">
        <f t="shared" si="1"/>
        <v>934.07812604647188</v>
      </c>
      <c r="Q46" s="23">
        <f>-PV(BondCalculator!$B$9/12,B46,0,1,0)</f>
        <v>0.8069736323009491</v>
      </c>
      <c r="S46" s="24">
        <f t="shared" si="2"/>
        <v>753.77641822858516</v>
      </c>
    </row>
    <row r="47" spans="1:19" ht="16.05" customHeight="1" x14ac:dyDescent="0.25">
      <c r="A47" s="19" t="s">
        <v>101</v>
      </c>
      <c r="B47" s="35">
        <v>44</v>
      </c>
      <c r="C47" s="20">
        <f t="shared" si="8"/>
        <v>2348618.150073532</v>
      </c>
      <c r="D47" s="20">
        <f>IF(G46=0,0,IF(G46&lt;BondCalculator!$B$12,G46+E47,BondCalculator!$B$12))</f>
        <v>25804.709809401418</v>
      </c>
      <c r="E47" s="20">
        <f>C47*BondCalculator!$B$5/12</f>
        <v>21528.999709007378</v>
      </c>
      <c r="F47" s="20">
        <f t="shared" si="3"/>
        <v>4275.7101003940406</v>
      </c>
      <c r="G47" s="20">
        <f t="shared" si="4"/>
        <v>2344342.4399731378</v>
      </c>
      <c r="H47" s="26">
        <f t="shared" si="5"/>
        <v>0.93773697598925509</v>
      </c>
      <c r="J47" s="22">
        <f t="shared" si="6"/>
        <v>2243784.6400151434</v>
      </c>
      <c r="K47" s="22">
        <f>IF(N46=0,0,IF(N46&lt;BondCalculator!$B$12+BondCalculator!$B$7,N46+L47,BondCalculator!$B$12+BondCalculator!$B$7))</f>
        <v>27804.709809401418</v>
      </c>
      <c r="L47" s="22">
        <f>J47*BondCalculator!$B$5/12</f>
        <v>20568.025866805481</v>
      </c>
      <c r="M47" s="22">
        <f t="shared" si="7"/>
        <v>7236.683942595937</v>
      </c>
      <c r="N47" s="22">
        <f t="shared" si="0"/>
        <v>2236547.9560725475</v>
      </c>
      <c r="P47" s="22">
        <f t="shared" si="1"/>
        <v>960.97384220189633</v>
      </c>
      <c r="Q47" s="23">
        <f>-PV(BondCalculator!$B$9/12,B47,0,1,0)</f>
        <v>0.80295883811039725</v>
      </c>
      <c r="S47" s="24">
        <f t="shared" si="2"/>
        <v>771.62243978891888</v>
      </c>
    </row>
    <row r="48" spans="1:19" ht="16.05" customHeight="1" x14ac:dyDescent="0.25">
      <c r="A48" s="19" t="s">
        <v>101</v>
      </c>
      <c r="B48" s="35">
        <v>45</v>
      </c>
      <c r="C48" s="20">
        <f t="shared" si="8"/>
        <v>2344342.4399731378</v>
      </c>
      <c r="D48" s="20">
        <f>IF(G47=0,0,IF(G47&lt;BondCalculator!$B$12,G47+E48,BondCalculator!$B$12))</f>
        <v>25804.709809401418</v>
      </c>
      <c r="E48" s="20">
        <f>C48*BondCalculator!$B$5/12</f>
        <v>21489.805699753764</v>
      </c>
      <c r="F48" s="20">
        <f t="shared" si="3"/>
        <v>4314.904109647654</v>
      </c>
      <c r="G48" s="20">
        <f t="shared" si="4"/>
        <v>2340027.5358634903</v>
      </c>
      <c r="H48" s="26">
        <f t="shared" si="5"/>
        <v>0.93601101434539613</v>
      </c>
      <c r="J48" s="22">
        <f t="shared" si="6"/>
        <v>2236547.9560725475</v>
      </c>
      <c r="K48" s="22">
        <f>IF(N47=0,0,IF(N47&lt;BondCalculator!$B$12+BondCalculator!$B$7,N47+L48,BondCalculator!$B$12+BondCalculator!$B$7))</f>
        <v>27804.709809401418</v>
      </c>
      <c r="L48" s="22">
        <f>J48*BondCalculator!$B$5/12</f>
        <v>20501.689597331686</v>
      </c>
      <c r="M48" s="22">
        <f t="shared" si="7"/>
        <v>7303.0202120697322</v>
      </c>
      <c r="N48" s="22">
        <f t="shared" si="0"/>
        <v>2229244.9358604779</v>
      </c>
      <c r="P48" s="22">
        <f t="shared" si="1"/>
        <v>988.11610242207826</v>
      </c>
      <c r="Q48" s="23">
        <f>-PV(BondCalculator!$B$9/12,B48,0,1,0)</f>
        <v>0.79896401802029604</v>
      </c>
      <c r="S48" s="24">
        <f t="shared" si="2"/>
        <v>789.46921146169802</v>
      </c>
    </row>
    <row r="49" spans="1:19" ht="16.05" customHeight="1" x14ac:dyDescent="0.25">
      <c r="A49" s="19" t="s">
        <v>101</v>
      </c>
      <c r="B49" s="35">
        <v>46</v>
      </c>
      <c r="C49" s="20">
        <f t="shared" si="8"/>
        <v>2340027.5358634903</v>
      </c>
      <c r="D49" s="20">
        <f>IF(G48=0,0,IF(G48&lt;BondCalculator!$B$12,G48+E49,BondCalculator!$B$12))</f>
        <v>25804.709809401418</v>
      </c>
      <c r="E49" s="20">
        <f>C49*BondCalculator!$B$5/12</f>
        <v>21450.252412081994</v>
      </c>
      <c r="F49" s="20">
        <f t="shared" si="3"/>
        <v>4354.4573973194238</v>
      </c>
      <c r="G49" s="20">
        <f t="shared" si="4"/>
        <v>2335673.0784661709</v>
      </c>
      <c r="H49" s="26">
        <f t="shared" si="5"/>
        <v>0.93426923138646834</v>
      </c>
      <c r="J49" s="22">
        <f t="shared" si="6"/>
        <v>2229244.9358604779</v>
      </c>
      <c r="K49" s="22">
        <f>IF(N48=0,0,IF(N48&lt;BondCalculator!$B$12+BondCalculator!$B$7,N48+L49,BondCalculator!$B$12+BondCalculator!$B$7))</f>
        <v>27804.709809401418</v>
      </c>
      <c r="L49" s="22">
        <f>J49*BondCalculator!$B$5/12</f>
        <v>20434.745245387716</v>
      </c>
      <c r="M49" s="22">
        <f t="shared" si="7"/>
        <v>7369.9645640137023</v>
      </c>
      <c r="N49" s="22">
        <f t="shared" si="0"/>
        <v>2221874.9712964641</v>
      </c>
      <c r="P49" s="22">
        <f t="shared" si="1"/>
        <v>1015.5071666942786</v>
      </c>
      <c r="Q49" s="23">
        <f>-PV(BondCalculator!$B$9/12,B49,0,1,0)</f>
        <v>0.79498907265701102</v>
      </c>
      <c r="S49" s="24">
        <f t="shared" si="2"/>
        <v>807.31710072683325</v>
      </c>
    </row>
    <row r="50" spans="1:19" ht="16.05" customHeight="1" x14ac:dyDescent="0.25">
      <c r="A50" s="19" t="s">
        <v>101</v>
      </c>
      <c r="B50" s="35">
        <v>47</v>
      </c>
      <c r="C50" s="20">
        <f t="shared" si="8"/>
        <v>2335673.0784661709</v>
      </c>
      <c r="D50" s="20">
        <f>IF(G49=0,0,IF(G49&lt;BondCalculator!$B$12,G49+E50,BondCalculator!$B$12))</f>
        <v>25804.709809401418</v>
      </c>
      <c r="E50" s="20">
        <f>C50*BondCalculator!$B$5/12</f>
        <v>21410.336552606568</v>
      </c>
      <c r="F50" s="20">
        <f t="shared" si="3"/>
        <v>4394.37325679485</v>
      </c>
      <c r="G50" s="20">
        <f t="shared" si="4"/>
        <v>2331278.7052093763</v>
      </c>
      <c r="H50" s="26">
        <f t="shared" si="5"/>
        <v>0.93251148208375056</v>
      </c>
      <c r="J50" s="22">
        <f t="shared" si="6"/>
        <v>2221874.9712964641</v>
      </c>
      <c r="K50" s="22">
        <f>IF(N49=0,0,IF(N49&lt;BondCalculator!$B$12+BondCalculator!$B$7,N49+L50,BondCalculator!$B$12+BondCalculator!$B$7))</f>
        <v>27804.709809401418</v>
      </c>
      <c r="L50" s="22">
        <f>J50*BondCalculator!$B$5/12</f>
        <v>20367.187236884256</v>
      </c>
      <c r="M50" s="22">
        <f t="shared" si="7"/>
        <v>7437.5225725171622</v>
      </c>
      <c r="N50" s="22">
        <f t="shared" si="0"/>
        <v>2214437.4487239467</v>
      </c>
      <c r="P50" s="22">
        <f t="shared" si="1"/>
        <v>1043.1493157223122</v>
      </c>
      <c r="Q50" s="23">
        <f>-PV(BondCalculator!$B$9/12,B50,0,1,0)</f>
        <v>0.79103390314130473</v>
      </c>
      <c r="S50" s="24">
        <f t="shared" si="2"/>
        <v>825.1664747750018</v>
      </c>
    </row>
    <row r="51" spans="1:19" ht="16.05" customHeight="1" x14ac:dyDescent="0.25">
      <c r="A51" s="19" t="s">
        <v>101</v>
      </c>
      <c r="B51" s="35">
        <v>48</v>
      </c>
      <c r="C51" s="20">
        <f t="shared" si="8"/>
        <v>2331278.7052093763</v>
      </c>
      <c r="D51" s="20">
        <f>IF(G50=0,0,IF(G50&lt;BondCalculator!$B$12,G50+E51,BondCalculator!$B$12))</f>
        <v>25804.709809401418</v>
      </c>
      <c r="E51" s="20">
        <f>C51*BondCalculator!$B$5/12</f>
        <v>21370.054797752618</v>
      </c>
      <c r="F51" s="20">
        <f t="shared" si="3"/>
        <v>4434.6550116487997</v>
      </c>
      <c r="G51" s="20">
        <f t="shared" si="4"/>
        <v>2326844.0501977275</v>
      </c>
      <c r="H51" s="26">
        <f t="shared" si="5"/>
        <v>0.930737620079091</v>
      </c>
      <c r="J51" s="22">
        <f t="shared" si="6"/>
        <v>2214437.4487239467</v>
      </c>
      <c r="K51" s="22">
        <f>IF(N50=0,0,IF(N50&lt;BondCalculator!$B$12+BondCalculator!$B$7,N50+L51,BondCalculator!$B$12+BondCalculator!$B$7))</f>
        <v>27804.709809401418</v>
      </c>
      <c r="L51" s="22">
        <f>J51*BondCalculator!$B$5/12</f>
        <v>20299.009946636179</v>
      </c>
      <c r="M51" s="22">
        <f t="shared" si="7"/>
        <v>7505.6998627652392</v>
      </c>
      <c r="N51" s="22">
        <f t="shared" si="0"/>
        <v>2206931.7488611815</v>
      </c>
      <c r="P51" s="22">
        <f t="shared" si="1"/>
        <v>1071.0448511164395</v>
      </c>
      <c r="Q51" s="23">
        <f>-PV(BondCalculator!$B$9/12,B51,0,1,0)</f>
        <v>0.78709841108587542</v>
      </c>
      <c r="S51" s="24">
        <f t="shared" si="2"/>
        <v>843.01770051545759</v>
      </c>
    </row>
    <row r="52" spans="1:19" ht="16.05" customHeight="1" x14ac:dyDescent="0.25">
      <c r="A52" s="19" t="s">
        <v>102</v>
      </c>
      <c r="B52" s="35">
        <v>49</v>
      </c>
      <c r="C52" s="20">
        <f t="shared" si="8"/>
        <v>2326844.0501977275</v>
      </c>
      <c r="D52" s="20">
        <f>IF(G51=0,0,IF(G51&lt;BondCalculator!$B$12,G51+E52,BondCalculator!$B$12))</f>
        <v>25804.709809401418</v>
      </c>
      <c r="E52" s="20">
        <f>C52*BondCalculator!$B$5/12</f>
        <v>21329.403793479167</v>
      </c>
      <c r="F52" s="20">
        <f t="shared" si="3"/>
        <v>4475.3060159222514</v>
      </c>
      <c r="G52" s="20">
        <f t="shared" si="4"/>
        <v>2322368.7441818053</v>
      </c>
      <c r="H52" s="26">
        <f t="shared" si="5"/>
        <v>0.92894749767272211</v>
      </c>
      <c r="J52" s="22">
        <f t="shared" si="6"/>
        <v>2206931.7488611815</v>
      </c>
      <c r="K52" s="22">
        <f>IF(N51=0,0,IF(N51&lt;BondCalculator!$B$12+BondCalculator!$B$7,N51+L52,BondCalculator!$B$12+BondCalculator!$B$7))</f>
        <v>27804.709809401418</v>
      </c>
      <c r="L52" s="22">
        <f>J52*BondCalculator!$B$5/12</f>
        <v>20230.207697894166</v>
      </c>
      <c r="M52" s="22">
        <f t="shared" si="7"/>
        <v>7574.5021115072523</v>
      </c>
      <c r="N52" s="22">
        <f t="shared" si="0"/>
        <v>2199357.2467496744</v>
      </c>
      <c r="P52" s="22">
        <f t="shared" si="1"/>
        <v>1099.1960955850009</v>
      </c>
      <c r="Q52" s="23">
        <f>-PV(BondCalculator!$B$9/12,B52,0,1,0)</f>
        <v>0.78318249859291089</v>
      </c>
      <c r="S52" s="24">
        <f t="shared" si="2"/>
        <v>860.87114458383314</v>
      </c>
    </row>
    <row r="53" spans="1:19" ht="16.05" customHeight="1" x14ac:dyDescent="0.25">
      <c r="A53" s="19" t="s">
        <v>102</v>
      </c>
      <c r="B53" s="35">
        <v>50</v>
      </c>
      <c r="C53" s="20">
        <f t="shared" si="8"/>
        <v>2322368.7441818053</v>
      </c>
      <c r="D53" s="20">
        <f>IF(G52=0,0,IF(G52&lt;BondCalculator!$B$12,G52+E53,BondCalculator!$B$12))</f>
        <v>25804.709809401418</v>
      </c>
      <c r="E53" s="20">
        <f>C53*BondCalculator!$B$5/12</f>
        <v>21288.380154999883</v>
      </c>
      <c r="F53" s="20">
        <f t="shared" si="3"/>
        <v>4516.3296544015357</v>
      </c>
      <c r="G53" s="20">
        <f t="shared" si="4"/>
        <v>2317852.4145274037</v>
      </c>
      <c r="H53" s="26">
        <f t="shared" si="5"/>
        <v>0.9271409658109615</v>
      </c>
      <c r="J53" s="22">
        <f t="shared" si="6"/>
        <v>2199357.2467496744</v>
      </c>
      <c r="K53" s="22">
        <f>IF(N52=0,0,IF(N52&lt;BondCalculator!$B$12+BondCalculator!$B$7,N52+L53,BondCalculator!$B$12+BondCalculator!$B$7))</f>
        <v>27804.709809401418</v>
      </c>
      <c r="L53" s="22">
        <f>J53*BondCalculator!$B$5/12</f>
        <v>20160.774761872017</v>
      </c>
      <c r="M53" s="22">
        <f t="shared" si="7"/>
        <v>7643.9350475294013</v>
      </c>
      <c r="N53" s="22">
        <f t="shared" si="0"/>
        <v>2191713.3117021453</v>
      </c>
      <c r="P53" s="22">
        <f t="shared" si="1"/>
        <v>1127.6053931278657</v>
      </c>
      <c r="Q53" s="23">
        <f>-PV(BondCalculator!$B$9/12,B53,0,1,0)</f>
        <v>0.77928606825165292</v>
      </c>
      <c r="S53" s="24">
        <f t="shared" si="2"/>
        <v>878.7271733499739</v>
      </c>
    </row>
    <row r="54" spans="1:19" ht="16.05" customHeight="1" x14ac:dyDescent="0.25">
      <c r="A54" s="19" t="s">
        <v>102</v>
      </c>
      <c r="B54" s="35">
        <v>51</v>
      </c>
      <c r="C54" s="20">
        <f t="shared" si="8"/>
        <v>2317852.4145274037</v>
      </c>
      <c r="D54" s="20">
        <f>IF(G53=0,0,IF(G53&lt;BondCalculator!$B$12,G53+E54,BondCalculator!$B$12))</f>
        <v>25804.709809401418</v>
      </c>
      <c r="E54" s="20">
        <f>C54*BondCalculator!$B$5/12</f>
        <v>21246.980466501202</v>
      </c>
      <c r="F54" s="20">
        <f t="shared" si="3"/>
        <v>4557.7293429002166</v>
      </c>
      <c r="G54" s="20">
        <f t="shared" si="4"/>
        <v>2313294.6851845034</v>
      </c>
      <c r="H54" s="26">
        <f t="shared" si="5"/>
        <v>0.92531787407380139</v>
      </c>
      <c r="J54" s="22">
        <f t="shared" si="6"/>
        <v>2191713.3117021453</v>
      </c>
      <c r="K54" s="22">
        <f>IF(N53=0,0,IF(N53&lt;BondCalculator!$B$12+BondCalculator!$B$7,N53+L54,BondCalculator!$B$12+BondCalculator!$B$7))</f>
        <v>27804.709809401418</v>
      </c>
      <c r="L54" s="22">
        <f>J54*BondCalculator!$B$5/12</f>
        <v>20090.705357269664</v>
      </c>
      <c r="M54" s="22">
        <f t="shared" si="7"/>
        <v>7714.0044521317541</v>
      </c>
      <c r="N54" s="22">
        <f t="shared" si="0"/>
        <v>2183999.3072500136</v>
      </c>
      <c r="P54" s="22">
        <f t="shared" si="1"/>
        <v>1156.2751092315375</v>
      </c>
      <c r="Q54" s="23">
        <f>-PV(BondCalculator!$B$9/12,B54,0,1,0)</f>
        <v>0.77540902313597315</v>
      </c>
      <c r="S54" s="24">
        <f t="shared" si="2"/>
        <v>896.58615292566719</v>
      </c>
    </row>
    <row r="55" spans="1:19" ht="16.05" customHeight="1" x14ac:dyDescent="0.25">
      <c r="A55" s="19" t="s">
        <v>102</v>
      </c>
      <c r="B55" s="35">
        <v>52</v>
      </c>
      <c r="C55" s="20">
        <f t="shared" si="8"/>
        <v>2313294.6851845034</v>
      </c>
      <c r="D55" s="20">
        <f>IF(G54=0,0,IF(G54&lt;BondCalculator!$B$12,G54+E55,BondCalculator!$B$12))</f>
        <v>25804.709809401418</v>
      </c>
      <c r="E55" s="20">
        <f>C55*BondCalculator!$B$5/12</f>
        <v>21205.201280857949</v>
      </c>
      <c r="F55" s="20">
        <f t="shared" si="3"/>
        <v>4599.5085285434689</v>
      </c>
      <c r="G55" s="20">
        <f t="shared" si="4"/>
        <v>2308695.1766559598</v>
      </c>
      <c r="H55" s="26">
        <f t="shared" si="5"/>
        <v>0.92347807066238397</v>
      </c>
      <c r="J55" s="22">
        <f t="shared" si="6"/>
        <v>2183999.3072500136</v>
      </c>
      <c r="K55" s="22">
        <f>IF(N54=0,0,IF(N54&lt;BondCalculator!$B$12+BondCalculator!$B$7,N54+L55,BondCalculator!$B$12+BondCalculator!$B$7))</f>
        <v>27804.709809401418</v>
      </c>
      <c r="L55" s="22">
        <f>J55*BondCalculator!$B$5/12</f>
        <v>20019.993649791792</v>
      </c>
      <c r="M55" s="22">
        <f t="shared" si="7"/>
        <v>7784.7161596096266</v>
      </c>
      <c r="N55" s="22">
        <f t="shared" si="0"/>
        <v>2176214.591090404</v>
      </c>
      <c r="P55" s="22">
        <f t="shared" si="1"/>
        <v>1185.2076310661578</v>
      </c>
      <c r="Q55" s="23">
        <f>-PV(BondCalculator!$B$9/12,B55,0,1,0)</f>
        <v>0.7715512668019634</v>
      </c>
      <c r="S55" s="24">
        <f t="shared" si="2"/>
        <v>914.44844917244814</v>
      </c>
    </row>
    <row r="56" spans="1:19" ht="16.05" customHeight="1" x14ac:dyDescent="0.25">
      <c r="A56" s="19" t="s">
        <v>102</v>
      </c>
      <c r="B56" s="35">
        <v>53</v>
      </c>
      <c r="C56" s="20">
        <f t="shared" si="8"/>
        <v>2308695.1766559598</v>
      </c>
      <c r="D56" s="20">
        <f>IF(G55=0,0,IF(G55&lt;BondCalculator!$B$12,G55+E56,BondCalculator!$B$12))</f>
        <v>25804.709809401418</v>
      </c>
      <c r="E56" s="20">
        <f>C56*BondCalculator!$B$5/12</f>
        <v>21163.039119346297</v>
      </c>
      <c r="F56" s="20">
        <f t="shared" si="3"/>
        <v>4641.6706900551217</v>
      </c>
      <c r="G56" s="20">
        <f t="shared" si="4"/>
        <v>2304053.5059659048</v>
      </c>
      <c r="H56" s="26">
        <f t="shared" si="5"/>
        <v>0.92162140238636192</v>
      </c>
      <c r="J56" s="22">
        <f t="shared" si="6"/>
        <v>2176214.591090404</v>
      </c>
      <c r="K56" s="22">
        <f>IF(N55=0,0,IF(N55&lt;BondCalculator!$B$12+BondCalculator!$B$7,N55+L56,BondCalculator!$B$12+BondCalculator!$B$7))</f>
        <v>27804.709809401418</v>
      </c>
      <c r="L56" s="22">
        <f>J56*BondCalculator!$B$5/12</f>
        <v>19948.633751662037</v>
      </c>
      <c r="M56" s="22">
        <f t="shared" si="7"/>
        <v>7856.0760577393812</v>
      </c>
      <c r="N56" s="22">
        <f t="shared" si="0"/>
        <v>2168358.5150326644</v>
      </c>
      <c r="P56" s="22">
        <f t="shared" si="1"/>
        <v>1214.4053676842595</v>
      </c>
      <c r="Q56" s="23">
        <f>-PV(BondCalculator!$B$9/12,B56,0,1,0)</f>
        <v>0.76771270328553587</v>
      </c>
      <c r="S56" s="24">
        <f t="shared" si="2"/>
        <v>932.31442770934802</v>
      </c>
    </row>
    <row r="57" spans="1:19" ht="16.05" customHeight="1" x14ac:dyDescent="0.25">
      <c r="A57" s="19" t="s">
        <v>102</v>
      </c>
      <c r="B57" s="35">
        <v>54</v>
      </c>
      <c r="C57" s="20">
        <f t="shared" si="8"/>
        <v>2304053.5059659048</v>
      </c>
      <c r="D57" s="20">
        <f>IF(G56=0,0,IF(G56&lt;BondCalculator!$B$12,G56+E57,BondCalculator!$B$12))</f>
        <v>25804.709809401418</v>
      </c>
      <c r="E57" s="20">
        <f>C57*BondCalculator!$B$5/12</f>
        <v>21120.490471354129</v>
      </c>
      <c r="F57" s="20">
        <f t="shared" si="3"/>
        <v>4684.2193380472891</v>
      </c>
      <c r="G57" s="20">
        <f t="shared" si="4"/>
        <v>2299369.2866278575</v>
      </c>
      <c r="H57" s="26">
        <f t="shared" si="5"/>
        <v>0.91974771465114302</v>
      </c>
      <c r="J57" s="22">
        <f t="shared" si="6"/>
        <v>2168358.5150326644</v>
      </c>
      <c r="K57" s="22">
        <f>IF(N56=0,0,IF(N56&lt;BondCalculator!$B$12+BondCalculator!$B$7,N56+L57,BondCalculator!$B$12+BondCalculator!$B$7))</f>
        <v>27804.709809401418</v>
      </c>
      <c r="L57" s="22">
        <f>J57*BondCalculator!$B$5/12</f>
        <v>19876.619721132756</v>
      </c>
      <c r="M57" s="22">
        <f t="shared" si="7"/>
        <v>7928.0900882686619</v>
      </c>
      <c r="N57" s="22">
        <f t="shared" si="0"/>
        <v>2160430.4249443957</v>
      </c>
      <c r="P57" s="22">
        <f t="shared" si="1"/>
        <v>1243.8707502213729</v>
      </c>
      <c r="Q57" s="23">
        <f>-PV(BondCalculator!$B$9/12,B57,0,1,0)</f>
        <v>0.76389323710003587</v>
      </c>
      <c r="S57" s="24">
        <f t="shared" si="2"/>
        <v>950.18445392065473</v>
      </c>
    </row>
    <row r="58" spans="1:19" ht="16.05" customHeight="1" x14ac:dyDescent="0.25">
      <c r="A58" s="19" t="s">
        <v>102</v>
      </c>
      <c r="B58" s="35">
        <v>55</v>
      </c>
      <c r="C58" s="20">
        <f t="shared" si="8"/>
        <v>2299369.2866278575</v>
      </c>
      <c r="D58" s="20">
        <f>IF(G57=0,0,IF(G57&lt;BondCalculator!$B$12,G57+E58,BondCalculator!$B$12))</f>
        <v>25804.709809401418</v>
      </c>
      <c r="E58" s="20">
        <f>C58*BondCalculator!$B$5/12</f>
        <v>21077.551794088693</v>
      </c>
      <c r="F58" s="20">
        <f t="shared" si="3"/>
        <v>4727.1580153127252</v>
      </c>
      <c r="G58" s="20">
        <f t="shared" si="4"/>
        <v>2294642.1286125449</v>
      </c>
      <c r="H58" s="26">
        <f t="shared" si="5"/>
        <v>0.91785685144501794</v>
      </c>
      <c r="J58" s="22">
        <f t="shared" si="6"/>
        <v>2160430.4249443957</v>
      </c>
      <c r="K58" s="22">
        <f>IF(N57=0,0,IF(N57&lt;BondCalculator!$B$12+BondCalculator!$B$7,N57+L58,BondCalculator!$B$12+BondCalculator!$B$7))</f>
        <v>27804.709809401418</v>
      </c>
      <c r="L58" s="22">
        <f>J58*BondCalculator!$B$5/12</f>
        <v>19803.945561990295</v>
      </c>
      <c r="M58" s="22">
        <f t="shared" si="7"/>
        <v>8000.7642474111235</v>
      </c>
      <c r="N58" s="22">
        <f t="shared" si="0"/>
        <v>2152429.6606969847</v>
      </c>
      <c r="P58" s="22">
        <f t="shared" si="1"/>
        <v>1273.6062320983983</v>
      </c>
      <c r="Q58" s="23">
        <f>-PV(BondCalculator!$B$9/12,B58,0,1,0)</f>
        <v>0.76009277323386659</v>
      </c>
      <c r="S58" s="24">
        <f t="shared" si="2"/>
        <v>968.05889296360715</v>
      </c>
    </row>
    <row r="59" spans="1:19" ht="16.05" customHeight="1" x14ac:dyDescent="0.25">
      <c r="A59" s="19" t="s">
        <v>102</v>
      </c>
      <c r="B59" s="35">
        <v>56</v>
      </c>
      <c r="C59" s="20">
        <f t="shared" si="8"/>
        <v>2294642.1286125449</v>
      </c>
      <c r="D59" s="20">
        <f>IF(G58=0,0,IF(G58&lt;BondCalculator!$B$12,G58+E59,BondCalculator!$B$12))</f>
        <v>25804.709809401418</v>
      </c>
      <c r="E59" s="20">
        <f>C59*BondCalculator!$B$5/12</f>
        <v>21034.219512281659</v>
      </c>
      <c r="F59" s="20">
        <f t="shared" si="3"/>
        <v>4770.4902971197589</v>
      </c>
      <c r="G59" s="20">
        <f t="shared" si="4"/>
        <v>2289871.6383154253</v>
      </c>
      <c r="H59" s="26">
        <f t="shared" si="5"/>
        <v>0.91594865532617009</v>
      </c>
      <c r="J59" s="22">
        <f t="shared" si="6"/>
        <v>2152429.6606969847</v>
      </c>
      <c r="K59" s="22">
        <f>IF(N58=0,0,IF(N58&lt;BondCalculator!$B$12+BondCalculator!$B$7,N58+L59,BondCalculator!$B$12+BondCalculator!$B$7))</f>
        <v>27804.709809401418</v>
      </c>
      <c r="L59" s="22">
        <f>J59*BondCalculator!$B$5/12</f>
        <v>19730.605223055692</v>
      </c>
      <c r="M59" s="22">
        <f t="shared" si="7"/>
        <v>8074.1045863457257</v>
      </c>
      <c r="N59" s="22">
        <f t="shared" si="0"/>
        <v>2144355.5561106391</v>
      </c>
      <c r="P59" s="22">
        <f t="shared" si="1"/>
        <v>1303.6142892259668</v>
      </c>
      <c r="Q59" s="23">
        <f>-PV(BondCalculator!$B$9/12,B59,0,1,0)</f>
        <v>0.75631121714812588</v>
      </c>
      <c r="S59" s="24">
        <f t="shared" si="2"/>
        <v>985.93810977618</v>
      </c>
    </row>
    <row r="60" spans="1:19" ht="16.05" customHeight="1" x14ac:dyDescent="0.25">
      <c r="A60" s="19" t="s">
        <v>102</v>
      </c>
      <c r="B60" s="35">
        <v>57</v>
      </c>
      <c r="C60" s="20">
        <f t="shared" si="8"/>
        <v>2289871.6383154253</v>
      </c>
      <c r="D60" s="20">
        <f>IF(G59=0,0,IF(G59&lt;BondCalculator!$B$12,G59+E60,BondCalculator!$B$12))</f>
        <v>25804.709809401418</v>
      </c>
      <c r="E60" s="20">
        <f>C60*BondCalculator!$B$5/12</f>
        <v>20990.490017891399</v>
      </c>
      <c r="F60" s="20">
        <f t="shared" si="3"/>
        <v>4814.2197915100187</v>
      </c>
      <c r="G60" s="20">
        <f t="shared" si="4"/>
        <v>2285057.4185239151</v>
      </c>
      <c r="H60" s="26">
        <f t="shared" si="5"/>
        <v>0.91402296740956601</v>
      </c>
      <c r="J60" s="22">
        <f t="shared" si="6"/>
        <v>2144355.5561106391</v>
      </c>
      <c r="K60" s="22">
        <f>IF(N59=0,0,IF(N59&lt;BondCalculator!$B$12+BondCalculator!$B$7,N59+L60,BondCalculator!$B$12+BondCalculator!$B$7))</f>
        <v>27804.709809401418</v>
      </c>
      <c r="L60" s="22">
        <f>J60*BondCalculator!$B$5/12</f>
        <v>19656.592597680858</v>
      </c>
      <c r="M60" s="22">
        <f t="shared" si="7"/>
        <v>8148.1172117205606</v>
      </c>
      <c r="N60" s="22">
        <f t="shared" si="0"/>
        <v>2136207.4388989187</v>
      </c>
      <c r="P60" s="22">
        <f t="shared" si="1"/>
        <v>1333.8974202105419</v>
      </c>
      <c r="Q60" s="23">
        <f>-PV(BondCalculator!$B$9/12,B60,0,1,0)</f>
        <v>0.75254847477425479</v>
      </c>
      <c r="S60" s="24">
        <f t="shared" si="2"/>
        <v>1003.8224690847566</v>
      </c>
    </row>
    <row r="61" spans="1:19" ht="16.05" customHeight="1" x14ac:dyDescent="0.25">
      <c r="A61" s="19" t="s">
        <v>102</v>
      </c>
      <c r="B61" s="35">
        <v>58</v>
      </c>
      <c r="C61" s="20">
        <f t="shared" si="8"/>
        <v>2285057.4185239151</v>
      </c>
      <c r="D61" s="20">
        <f>IF(G60=0,0,IF(G60&lt;BondCalculator!$B$12,G60+E61,BondCalculator!$B$12))</f>
        <v>25804.709809401418</v>
      </c>
      <c r="E61" s="20">
        <f>C61*BondCalculator!$B$5/12</f>
        <v>20946.359669802554</v>
      </c>
      <c r="F61" s="20">
        <f t="shared" si="3"/>
        <v>4858.3501395988642</v>
      </c>
      <c r="G61" s="20">
        <f t="shared" si="4"/>
        <v>2280199.0683843163</v>
      </c>
      <c r="H61" s="26">
        <f t="shared" si="5"/>
        <v>0.9120796273537265</v>
      </c>
      <c r="J61" s="22">
        <f t="shared" si="6"/>
        <v>2136207.4388989187</v>
      </c>
      <c r="K61" s="22">
        <f>IF(N60=0,0,IF(N60&lt;BondCalculator!$B$12+BondCalculator!$B$7,N60+L61,BondCalculator!$B$12+BondCalculator!$B$7))</f>
        <v>27804.709809401418</v>
      </c>
      <c r="L61" s="22">
        <f>J61*BondCalculator!$B$5/12</f>
        <v>19581.901523240089</v>
      </c>
      <c r="M61" s="22">
        <f t="shared" si="7"/>
        <v>8222.8082861613293</v>
      </c>
      <c r="N61" s="22">
        <f t="shared" si="0"/>
        <v>2127984.6306127575</v>
      </c>
      <c r="P61" s="22">
        <f t="shared" si="1"/>
        <v>1364.4581465624651</v>
      </c>
      <c r="Q61" s="23">
        <f>-PV(BondCalculator!$B$9/12,B61,0,1,0)</f>
        <v>0.74880445251169647</v>
      </c>
      <c r="S61" s="24">
        <f t="shared" si="2"/>
        <v>1021.7123354118308</v>
      </c>
    </row>
    <row r="62" spans="1:19" ht="16.05" customHeight="1" x14ac:dyDescent="0.25">
      <c r="A62" s="19" t="s">
        <v>102</v>
      </c>
      <c r="B62" s="35">
        <v>59</v>
      </c>
      <c r="C62" s="20">
        <f t="shared" si="8"/>
        <v>2280199.0683843163</v>
      </c>
      <c r="D62" s="20">
        <f>IF(G61=0,0,IF(G61&lt;BondCalculator!$B$12,G61+E62,BondCalculator!$B$12))</f>
        <v>25804.709809401418</v>
      </c>
      <c r="E62" s="20">
        <f>C62*BondCalculator!$B$5/12</f>
        <v>20901.824793522897</v>
      </c>
      <c r="F62" s="20">
        <f t="shared" si="3"/>
        <v>4902.8850158785208</v>
      </c>
      <c r="G62" s="20">
        <f t="shared" si="4"/>
        <v>2275296.1833684379</v>
      </c>
      <c r="H62" s="26">
        <f t="shared" si="5"/>
        <v>0.91011847334737517</v>
      </c>
      <c r="J62" s="22">
        <f t="shared" si="6"/>
        <v>2127984.6306127575</v>
      </c>
      <c r="K62" s="22">
        <f>IF(N61=0,0,IF(N61&lt;BondCalculator!$B$12+BondCalculator!$B$7,N61+L62,BondCalculator!$B$12+BondCalculator!$B$7))</f>
        <v>27804.709809401418</v>
      </c>
      <c r="L62" s="22">
        <f>J62*BondCalculator!$B$5/12</f>
        <v>19506.525780616943</v>
      </c>
      <c r="M62" s="22">
        <f t="shared" si="7"/>
        <v>8298.1840287844752</v>
      </c>
      <c r="N62" s="22">
        <f t="shared" si="0"/>
        <v>2119686.4465839732</v>
      </c>
      <c r="P62" s="22">
        <f t="shared" si="1"/>
        <v>1395.2990129059544</v>
      </c>
      <c r="Q62" s="23">
        <f>-PV(BondCalculator!$B$9/12,B62,0,1,0)</f>
        <v>0.74507905722556877</v>
      </c>
      <c r="S62" s="24">
        <f t="shared" si="2"/>
        <v>1039.6080730837352</v>
      </c>
    </row>
    <row r="63" spans="1:19" ht="16.05" customHeight="1" x14ac:dyDescent="0.25">
      <c r="A63" s="19" t="s">
        <v>102</v>
      </c>
      <c r="B63" s="35">
        <v>60</v>
      </c>
      <c r="C63" s="20">
        <f t="shared" si="8"/>
        <v>2275296.1833684379</v>
      </c>
      <c r="D63" s="20">
        <f>IF(G62=0,0,IF(G62&lt;BondCalculator!$B$12,G62+E63,BondCalculator!$B$12))</f>
        <v>25804.709809401418</v>
      </c>
      <c r="E63" s="20">
        <f>C63*BondCalculator!$B$5/12</f>
        <v>20856.881680877348</v>
      </c>
      <c r="F63" s="20">
        <f t="shared" si="3"/>
        <v>4947.8281285240701</v>
      </c>
      <c r="G63" s="20">
        <f t="shared" si="4"/>
        <v>2270348.3552399138</v>
      </c>
      <c r="H63" s="26">
        <f t="shared" si="5"/>
        <v>0.90813934209596547</v>
      </c>
      <c r="J63" s="22">
        <f t="shared" si="6"/>
        <v>2119686.4465839732</v>
      </c>
      <c r="K63" s="22">
        <f>IF(N62=0,0,IF(N62&lt;BondCalculator!$B$12+BondCalculator!$B$7,N62+L63,BondCalculator!$B$12+BondCalculator!$B$7))</f>
        <v>27804.709809401418</v>
      </c>
      <c r="L63" s="22">
        <f>J63*BondCalculator!$B$5/12</f>
        <v>19430.459093686422</v>
      </c>
      <c r="M63" s="22">
        <f t="shared" si="7"/>
        <v>8374.2507157149957</v>
      </c>
      <c r="N63" s="22">
        <f t="shared" si="0"/>
        <v>2111312.1958682584</v>
      </c>
      <c r="P63" s="22">
        <f t="shared" si="1"/>
        <v>1426.4225871909257</v>
      </c>
      <c r="Q63" s="23">
        <f>-PV(BondCalculator!$B$9/12,B63,0,1,0)</f>
        <v>0.74137219624434714</v>
      </c>
      <c r="S63" s="24">
        <f t="shared" si="2"/>
        <v>1057.5100462382804</v>
      </c>
    </row>
    <row r="64" spans="1:19" ht="16.05" customHeight="1" x14ac:dyDescent="0.25">
      <c r="A64" s="19" t="s">
        <v>103</v>
      </c>
      <c r="B64" s="35">
        <v>61</v>
      </c>
      <c r="C64" s="20">
        <f t="shared" si="8"/>
        <v>2270348.3552399138</v>
      </c>
      <c r="D64" s="20">
        <f>IF(G63=0,0,IF(G63&lt;BondCalculator!$B$12,G63+E64,BondCalculator!$B$12))</f>
        <v>25804.709809401418</v>
      </c>
      <c r="E64" s="20">
        <f>C64*BondCalculator!$B$5/12</f>
        <v>20811.52658969921</v>
      </c>
      <c r="F64" s="20">
        <f t="shared" si="3"/>
        <v>4993.1832197022086</v>
      </c>
      <c r="G64" s="20">
        <f t="shared" si="4"/>
        <v>2265355.1720202118</v>
      </c>
      <c r="H64" s="26">
        <f t="shared" si="5"/>
        <v>0.90614206880808468</v>
      </c>
      <c r="J64" s="22">
        <f t="shared" si="6"/>
        <v>2111312.1958682584</v>
      </c>
      <c r="K64" s="22">
        <f>IF(N63=0,0,IF(N63&lt;BondCalculator!$B$12+BondCalculator!$B$7,N63+L64,BondCalculator!$B$12+BondCalculator!$B$7))</f>
        <v>27804.709809401418</v>
      </c>
      <c r="L64" s="22">
        <f>J64*BondCalculator!$B$5/12</f>
        <v>19353.695128792369</v>
      </c>
      <c r="M64" s="22">
        <f t="shared" si="7"/>
        <v>8451.0146806090488</v>
      </c>
      <c r="N64" s="22">
        <f t="shared" si="0"/>
        <v>2102861.1811876493</v>
      </c>
      <c r="P64" s="22">
        <f t="shared" si="1"/>
        <v>1457.8314609068402</v>
      </c>
      <c r="Q64" s="23">
        <f>-PV(BondCalculator!$B$9/12,B64,0,1,0)</f>
        <v>0.73768377735755941</v>
      </c>
      <c r="S64" s="24">
        <f t="shared" si="2"/>
        <v>1075.418618832447</v>
      </c>
    </row>
    <row r="65" spans="1:19" ht="16.05" customHeight="1" x14ac:dyDescent="0.25">
      <c r="A65" s="19" t="s">
        <v>103</v>
      </c>
      <c r="B65" s="35">
        <v>62</v>
      </c>
      <c r="C65" s="20">
        <f t="shared" si="8"/>
        <v>2265355.1720202118</v>
      </c>
      <c r="D65" s="20">
        <f>IF(G64=0,0,IF(G64&lt;BondCalculator!$B$12,G64+E65,BondCalculator!$B$12))</f>
        <v>25804.709809401418</v>
      </c>
      <c r="E65" s="20">
        <f>C65*BondCalculator!$B$5/12</f>
        <v>20765.755743518606</v>
      </c>
      <c r="F65" s="20">
        <f t="shared" si="3"/>
        <v>5038.9540658828118</v>
      </c>
      <c r="G65" s="20">
        <f t="shared" si="4"/>
        <v>2260316.2179543292</v>
      </c>
      <c r="H65" s="26">
        <f t="shared" si="5"/>
        <v>0.90412648718173172</v>
      </c>
      <c r="J65" s="22">
        <f t="shared" si="6"/>
        <v>2102861.1811876493</v>
      </c>
      <c r="K65" s="22">
        <f>IF(N64=0,0,IF(N64&lt;BondCalculator!$B$12+BondCalculator!$B$7,N64+L65,BondCalculator!$B$12+BondCalculator!$B$7))</f>
        <v>27804.709809401418</v>
      </c>
      <c r="L65" s="22">
        <f>J65*BondCalculator!$B$5/12</f>
        <v>19276.227494220118</v>
      </c>
      <c r="M65" s="22">
        <f t="shared" si="7"/>
        <v>8528.4823151812998</v>
      </c>
      <c r="N65" s="22">
        <f t="shared" si="0"/>
        <v>2094332.698872468</v>
      </c>
      <c r="P65" s="22">
        <f t="shared" si="1"/>
        <v>1489.5282492984879</v>
      </c>
      <c r="Q65" s="23">
        <f>-PV(BondCalculator!$B$9/12,B65,0,1,0)</f>
        <v>0.73401370881349215</v>
      </c>
      <c r="S65" s="24">
        <f t="shared" si="2"/>
        <v>1093.334154650051</v>
      </c>
    </row>
    <row r="66" spans="1:19" ht="16.05" customHeight="1" x14ac:dyDescent="0.25">
      <c r="A66" s="19" t="s">
        <v>103</v>
      </c>
      <c r="B66" s="35">
        <v>63</v>
      </c>
      <c r="C66" s="20">
        <f t="shared" si="8"/>
        <v>2260316.2179543292</v>
      </c>
      <c r="D66" s="20">
        <f>IF(G65=0,0,IF(G65&lt;BondCalculator!$B$12,G65+E66,BondCalculator!$B$12))</f>
        <v>25804.709809401418</v>
      </c>
      <c r="E66" s="20">
        <f>C66*BondCalculator!$B$5/12</f>
        <v>20719.565331248017</v>
      </c>
      <c r="F66" s="20">
        <f t="shared" si="3"/>
        <v>5085.144478153401</v>
      </c>
      <c r="G66" s="20">
        <f t="shared" si="4"/>
        <v>2255231.0734761758</v>
      </c>
      <c r="H66" s="26">
        <f t="shared" si="5"/>
        <v>0.9020924293904703</v>
      </c>
      <c r="J66" s="22">
        <f t="shared" si="6"/>
        <v>2094332.698872468</v>
      </c>
      <c r="K66" s="22">
        <f>IF(N65=0,0,IF(N65&lt;BondCalculator!$B$12+BondCalculator!$B$7,N65+L66,BondCalculator!$B$12+BondCalculator!$B$7))</f>
        <v>27804.709809401418</v>
      </c>
      <c r="L66" s="22">
        <f>J66*BondCalculator!$B$5/12</f>
        <v>19198.04973966429</v>
      </c>
      <c r="M66" s="22">
        <f t="shared" si="7"/>
        <v>8606.6600697371287</v>
      </c>
      <c r="N66" s="22">
        <f t="shared" si="0"/>
        <v>2085726.0388027309</v>
      </c>
      <c r="P66" s="22">
        <f t="shared" si="1"/>
        <v>1521.5155915837277</v>
      </c>
      <c r="Q66" s="23">
        <f>-PV(BondCalculator!$B$9/12,B66,0,1,0)</f>
        <v>0.73036189931690765</v>
      </c>
      <c r="S66" s="24">
        <f t="shared" si="2"/>
        <v>1111.2570173093798</v>
      </c>
    </row>
    <row r="67" spans="1:19" ht="16.05" customHeight="1" x14ac:dyDescent="0.25">
      <c r="A67" s="19" t="s">
        <v>103</v>
      </c>
      <c r="B67" s="35">
        <v>64</v>
      </c>
      <c r="C67" s="20">
        <f t="shared" si="8"/>
        <v>2255231.0734761758</v>
      </c>
      <c r="D67" s="20">
        <f>IF(G66=0,0,IF(G66&lt;BondCalculator!$B$12,G66+E67,BondCalculator!$B$12))</f>
        <v>25804.709809401418</v>
      </c>
      <c r="E67" s="20">
        <f>C67*BondCalculator!$B$5/12</f>
        <v>20672.951506864945</v>
      </c>
      <c r="F67" s="20">
        <f t="shared" si="3"/>
        <v>5131.7583025364729</v>
      </c>
      <c r="G67" s="20">
        <f t="shared" si="4"/>
        <v>2250099.3151736395</v>
      </c>
      <c r="H67" s="26">
        <f t="shared" si="5"/>
        <v>0.90003972606945581</v>
      </c>
      <c r="J67" s="22">
        <f t="shared" si="6"/>
        <v>2085726.0388027309</v>
      </c>
      <c r="K67" s="22">
        <f>IF(N66=0,0,IF(N66&lt;BondCalculator!$B$12+BondCalculator!$B$7,N66+L67,BondCalculator!$B$12+BondCalculator!$B$7))</f>
        <v>27804.709809401418</v>
      </c>
      <c r="L67" s="22">
        <f>J67*BondCalculator!$B$5/12</f>
        <v>19119.155355691699</v>
      </c>
      <c r="M67" s="22">
        <f t="shared" si="7"/>
        <v>8685.5544537097194</v>
      </c>
      <c r="N67" s="22">
        <f t="shared" si="0"/>
        <v>2077040.4843490212</v>
      </c>
      <c r="P67" s="22">
        <f t="shared" si="1"/>
        <v>1553.7961511732465</v>
      </c>
      <c r="Q67" s="23">
        <f>-PV(BondCalculator!$B$9/12,B67,0,1,0)</f>
        <v>0.72672825802677388</v>
      </c>
      <c r="S67" s="24">
        <f t="shared" si="2"/>
        <v>1129.1875702708392</v>
      </c>
    </row>
    <row r="68" spans="1:19" ht="16.05" customHeight="1" x14ac:dyDescent="0.25">
      <c r="A68" s="19" t="s">
        <v>103</v>
      </c>
      <c r="B68" s="35">
        <v>65</v>
      </c>
      <c r="C68" s="20">
        <f t="shared" si="8"/>
        <v>2250099.3151736395</v>
      </c>
      <c r="D68" s="20">
        <f>IF(G67=0,0,IF(G67&lt;BondCalculator!$B$12,G67+E68,BondCalculator!$B$12))</f>
        <v>25804.709809401418</v>
      </c>
      <c r="E68" s="20">
        <f>C68*BondCalculator!$B$5/12</f>
        <v>20625.910389091696</v>
      </c>
      <c r="F68" s="20">
        <f t="shared" si="3"/>
        <v>5178.7994203097223</v>
      </c>
      <c r="G68" s="20">
        <f t="shared" si="4"/>
        <v>2244920.5157533297</v>
      </c>
      <c r="H68" s="26">
        <f t="shared" si="5"/>
        <v>0.89796820630133189</v>
      </c>
      <c r="J68" s="22">
        <f t="shared" si="6"/>
        <v>2077040.4843490212</v>
      </c>
      <c r="K68" s="22">
        <f>IF(N67=0,0,IF(N67&lt;BondCalculator!$B$12+BondCalculator!$B$7,N67+L68,BondCalculator!$B$12+BondCalculator!$B$7))</f>
        <v>27804.709809401418</v>
      </c>
      <c r="L68" s="22">
        <f>J68*BondCalculator!$B$5/12</f>
        <v>19039.537773199361</v>
      </c>
      <c r="M68" s="22">
        <f t="shared" si="7"/>
        <v>8765.1720362020569</v>
      </c>
      <c r="N68" s="22">
        <f t="shared" ref="N68:N131" si="9">J68-M68</f>
        <v>2068275.3123128191</v>
      </c>
      <c r="P68" s="22">
        <f t="shared" ref="P68:P131" si="10">E68-L68</f>
        <v>1586.3726158923346</v>
      </c>
      <c r="Q68" s="23">
        <f>-PV(BondCalculator!$B$9/12,B68,0,1,0)</f>
        <v>0.72311269455400395</v>
      </c>
      <c r="S68" s="24">
        <f t="shared" ref="S68:S131" si="11">P68*Q68</f>
        <v>1147.12617684459</v>
      </c>
    </row>
    <row r="69" spans="1:19" ht="16.05" customHeight="1" x14ac:dyDescent="0.25">
      <c r="A69" s="19" t="s">
        <v>103</v>
      </c>
      <c r="B69" s="35">
        <v>66</v>
      </c>
      <c r="C69" s="20">
        <f t="shared" si="8"/>
        <v>2244920.5157533297</v>
      </c>
      <c r="D69" s="20">
        <f>IF(G68=0,0,IF(G68&lt;BondCalculator!$B$12,G68+E69,BondCalculator!$B$12))</f>
        <v>25804.709809401418</v>
      </c>
      <c r="E69" s="20">
        <f>C69*BondCalculator!$B$5/12</f>
        <v>20578.438061072189</v>
      </c>
      <c r="F69" s="20">
        <f t="shared" ref="F69:F132" si="12">D69-E69</f>
        <v>5226.271748329229</v>
      </c>
      <c r="G69" s="20">
        <f t="shared" ref="G69:G132" si="13">IF(ROUND(C69-F69,0)=0,0,C69-F69)</f>
        <v>2239694.2440050007</v>
      </c>
      <c r="H69" s="26">
        <f t="shared" ref="H69:H132" si="14">G69/$C$4</f>
        <v>0.89587769760200031</v>
      </c>
      <c r="J69" s="22">
        <f t="shared" ref="J69:J132" si="15">IF(ROUND(N68,0)&gt;0,N68,0)</f>
        <v>2068275.3123128191</v>
      </c>
      <c r="K69" s="22">
        <f>IF(N68=0,0,IF(N68&lt;BondCalculator!$B$12+BondCalculator!$B$7,N68+L69,BondCalculator!$B$12+BondCalculator!$B$7))</f>
        <v>27804.709809401418</v>
      </c>
      <c r="L69" s="22">
        <f>J69*BondCalculator!$B$5/12</f>
        <v>18959.19036286751</v>
      </c>
      <c r="M69" s="22">
        <f t="shared" ref="M69:M132" si="16">IF(K69-L69&gt;N68,N68,K69-L69)</f>
        <v>8845.5194465339082</v>
      </c>
      <c r="N69" s="22">
        <f t="shared" si="9"/>
        <v>2059429.7928662852</v>
      </c>
      <c r="P69" s="22">
        <f t="shared" si="10"/>
        <v>1619.2476982046792</v>
      </c>
      <c r="Q69" s="23">
        <f>-PV(BondCalculator!$B$9/12,B69,0,1,0)</f>
        <v>0.71951511895920806</v>
      </c>
      <c r="S69" s="24">
        <f t="shared" si="11"/>
        <v>1165.0732001981635</v>
      </c>
    </row>
    <row r="70" spans="1:19" ht="16.05" customHeight="1" x14ac:dyDescent="0.25">
      <c r="A70" s="19" t="s">
        <v>103</v>
      </c>
      <c r="B70" s="35">
        <v>67</v>
      </c>
      <c r="C70" s="20">
        <f t="shared" ref="C70:C133" si="17">IF(ROUND(G69,0)=0,0,G69)</f>
        <v>2239694.2440050007</v>
      </c>
      <c r="D70" s="20">
        <f>IF(G69=0,0,IF(G69&lt;BondCalculator!$B$12,G69+E70,BondCalculator!$B$12))</f>
        <v>25804.709809401418</v>
      </c>
      <c r="E70" s="20">
        <f>C70*BondCalculator!$B$5/12</f>
        <v>20530.530570045838</v>
      </c>
      <c r="F70" s="20">
        <f t="shared" si="12"/>
        <v>5274.1792393555806</v>
      </c>
      <c r="G70" s="20">
        <f t="shared" si="13"/>
        <v>2234420.0647656452</v>
      </c>
      <c r="H70" s="26">
        <f t="shared" si="14"/>
        <v>0.89376802590625803</v>
      </c>
      <c r="J70" s="22">
        <f t="shared" si="15"/>
        <v>2059429.7928662852</v>
      </c>
      <c r="K70" s="22">
        <f>IF(N69=0,0,IF(N69&lt;BondCalculator!$B$12+BondCalculator!$B$7,N69+L70,BondCalculator!$B$12+BondCalculator!$B$7))</f>
        <v>27804.709809401418</v>
      </c>
      <c r="L70" s="22">
        <f>J70*BondCalculator!$B$5/12</f>
        <v>18878.106434607613</v>
      </c>
      <c r="M70" s="22">
        <f t="shared" si="16"/>
        <v>8926.6033747938054</v>
      </c>
      <c r="N70" s="22">
        <f t="shared" si="9"/>
        <v>2050503.1894914913</v>
      </c>
      <c r="P70" s="22">
        <f t="shared" si="10"/>
        <v>1652.4241354382248</v>
      </c>
      <c r="Q70" s="23">
        <f>-PV(BondCalculator!$B$9/12,B70,0,1,0)</f>
        <v>0.71593544175045576</v>
      </c>
      <c r="S70" s="24">
        <f t="shared" si="11"/>
        <v>1183.0290033640804</v>
      </c>
    </row>
    <row r="71" spans="1:19" ht="16.05" customHeight="1" x14ac:dyDescent="0.25">
      <c r="A71" s="19" t="s">
        <v>103</v>
      </c>
      <c r="B71" s="35">
        <v>68</v>
      </c>
      <c r="C71" s="20">
        <f t="shared" si="17"/>
        <v>2234420.0647656452</v>
      </c>
      <c r="D71" s="20">
        <f>IF(G70=0,0,IF(G70&lt;BondCalculator!$B$12,G70+E71,BondCalculator!$B$12))</f>
        <v>25804.709809401418</v>
      </c>
      <c r="E71" s="20">
        <f>C71*BondCalculator!$B$5/12</f>
        <v>20482.183927018414</v>
      </c>
      <c r="F71" s="20">
        <f t="shared" si="12"/>
        <v>5322.5258823830045</v>
      </c>
      <c r="G71" s="20">
        <f t="shared" si="13"/>
        <v>2229097.5388832623</v>
      </c>
      <c r="H71" s="26">
        <f t="shared" si="14"/>
        <v>0.89163901555330494</v>
      </c>
      <c r="J71" s="22">
        <f t="shared" si="15"/>
        <v>2050503.1894914913</v>
      </c>
      <c r="K71" s="22">
        <f>IF(N70=0,0,IF(N70&lt;BondCalculator!$B$12+BondCalculator!$B$7,N70+L71,BondCalculator!$B$12+BondCalculator!$B$7))</f>
        <v>27804.709809401418</v>
      </c>
      <c r="L71" s="22">
        <f>J71*BondCalculator!$B$5/12</f>
        <v>18796.279237005339</v>
      </c>
      <c r="M71" s="22">
        <f t="shared" si="16"/>
        <v>9008.4305723960788</v>
      </c>
      <c r="N71" s="22">
        <f t="shared" si="9"/>
        <v>2041494.7589190952</v>
      </c>
      <c r="P71" s="22">
        <f t="shared" si="10"/>
        <v>1685.9046900130743</v>
      </c>
      <c r="Q71" s="23">
        <f>-PV(BondCalculator!$B$9/12,B71,0,1,0)</f>
        <v>0.71237357388105071</v>
      </c>
      <c r="S71" s="24">
        <f t="shared" si="11"/>
        <v>1200.9939492474386</v>
      </c>
    </row>
    <row r="72" spans="1:19" ht="16.05" customHeight="1" x14ac:dyDescent="0.25">
      <c r="A72" s="19" t="s">
        <v>103</v>
      </c>
      <c r="B72" s="35">
        <v>69</v>
      </c>
      <c r="C72" s="20">
        <f t="shared" si="17"/>
        <v>2229097.5388832623</v>
      </c>
      <c r="D72" s="20">
        <f>IF(G71=0,0,IF(G71&lt;BondCalculator!$B$12,G71+E72,BondCalculator!$B$12))</f>
        <v>25804.709809401418</v>
      </c>
      <c r="E72" s="20">
        <f>C72*BondCalculator!$B$5/12</f>
        <v>20433.394106429903</v>
      </c>
      <c r="F72" s="20">
        <f t="shared" si="12"/>
        <v>5371.3157029715148</v>
      </c>
      <c r="G72" s="20">
        <f t="shared" si="13"/>
        <v>2223726.2231802908</v>
      </c>
      <c r="H72" s="26">
        <f t="shared" si="14"/>
        <v>0.88949048927211627</v>
      </c>
      <c r="J72" s="22">
        <f t="shared" si="15"/>
        <v>2041494.7589190952</v>
      </c>
      <c r="K72" s="22">
        <f>IF(N71=0,0,IF(N71&lt;BondCalculator!$B$12+BondCalculator!$B$7,N71+L72,BondCalculator!$B$12+BondCalculator!$B$7))</f>
        <v>27804.709809401418</v>
      </c>
      <c r="L72" s="22">
        <f>J72*BondCalculator!$B$5/12</f>
        <v>18713.701956758374</v>
      </c>
      <c r="M72" s="22">
        <f t="shared" si="16"/>
        <v>9091.0078526430443</v>
      </c>
      <c r="N72" s="22">
        <f t="shared" si="9"/>
        <v>2032403.7510664521</v>
      </c>
      <c r="P72" s="22">
        <f t="shared" si="10"/>
        <v>1719.6921496715295</v>
      </c>
      <c r="Q72" s="23">
        <f>-PV(BondCalculator!$B$9/12,B72,0,1,0)</f>
        <v>0.70882942674731431</v>
      </c>
      <c r="S72" s="24">
        <f t="shared" si="11"/>
        <v>1218.9684006335269</v>
      </c>
    </row>
    <row r="73" spans="1:19" ht="16.05" customHeight="1" x14ac:dyDescent="0.25">
      <c r="A73" s="19" t="s">
        <v>103</v>
      </c>
      <c r="B73" s="35">
        <v>70</v>
      </c>
      <c r="C73" s="20">
        <f t="shared" si="17"/>
        <v>2223726.2231802908</v>
      </c>
      <c r="D73" s="20">
        <f>IF(G72=0,0,IF(G72&lt;BondCalculator!$B$12,G72+E73,BondCalculator!$B$12))</f>
        <v>25804.709809401418</v>
      </c>
      <c r="E73" s="20">
        <f>C73*BondCalculator!$B$5/12</f>
        <v>20384.157045819335</v>
      </c>
      <c r="F73" s="20">
        <f t="shared" si="12"/>
        <v>5420.5527635820836</v>
      </c>
      <c r="G73" s="20">
        <f t="shared" si="13"/>
        <v>2218305.6704167086</v>
      </c>
      <c r="H73" s="26">
        <f t="shared" si="14"/>
        <v>0.88732226816668347</v>
      </c>
      <c r="J73" s="22">
        <f t="shared" si="15"/>
        <v>2032403.7510664521</v>
      </c>
      <c r="K73" s="22">
        <f>IF(N72=0,0,IF(N72&lt;BondCalculator!$B$12+BondCalculator!$B$7,N72+L73,BondCalculator!$B$12+BondCalculator!$B$7))</f>
        <v>27804.709809401418</v>
      </c>
      <c r="L73" s="22">
        <f>J73*BondCalculator!$B$5/12</f>
        <v>18630.367718109144</v>
      </c>
      <c r="M73" s="22">
        <f t="shared" si="16"/>
        <v>9174.3420912922738</v>
      </c>
      <c r="N73" s="22">
        <f t="shared" si="9"/>
        <v>2023229.4089751597</v>
      </c>
      <c r="P73" s="22">
        <f t="shared" si="10"/>
        <v>1753.7893277101903</v>
      </c>
      <c r="Q73" s="23">
        <f>-PV(BondCalculator!$B$9/12,B73,0,1,0)</f>
        <v>0.70530291218638252</v>
      </c>
      <c r="S73" s="24">
        <f t="shared" si="11"/>
        <v>1236.9527201953952</v>
      </c>
    </row>
    <row r="74" spans="1:19" ht="16.05" customHeight="1" x14ac:dyDescent="0.25">
      <c r="A74" s="19" t="s">
        <v>103</v>
      </c>
      <c r="B74" s="35">
        <v>71</v>
      </c>
      <c r="C74" s="20">
        <f t="shared" si="17"/>
        <v>2218305.6704167086</v>
      </c>
      <c r="D74" s="20">
        <f>IF(G73=0,0,IF(G73&lt;BondCalculator!$B$12,G73+E74,BondCalculator!$B$12))</f>
        <v>25804.709809401418</v>
      </c>
      <c r="E74" s="20">
        <f>C74*BondCalculator!$B$5/12</f>
        <v>20334.468645486497</v>
      </c>
      <c r="F74" s="20">
        <f t="shared" si="12"/>
        <v>5470.2411639149213</v>
      </c>
      <c r="G74" s="20">
        <f t="shared" si="13"/>
        <v>2212835.4292527935</v>
      </c>
      <c r="H74" s="26">
        <f t="shared" si="14"/>
        <v>0.88513417170111741</v>
      </c>
      <c r="J74" s="22">
        <f t="shared" si="15"/>
        <v>2023229.4089751597</v>
      </c>
      <c r="K74" s="22">
        <f>IF(N73=0,0,IF(N73&lt;BondCalculator!$B$12+BondCalculator!$B$7,N73+L74,BondCalculator!$B$12+BondCalculator!$B$7))</f>
        <v>27804.709809401418</v>
      </c>
      <c r="L74" s="22">
        <f>J74*BondCalculator!$B$5/12</f>
        <v>18546.2695822723</v>
      </c>
      <c r="M74" s="22">
        <f t="shared" si="16"/>
        <v>9258.4402271291183</v>
      </c>
      <c r="N74" s="22">
        <f t="shared" si="9"/>
        <v>2013970.9687480307</v>
      </c>
      <c r="P74" s="22">
        <f t="shared" si="10"/>
        <v>1788.1990632141969</v>
      </c>
      <c r="Q74" s="23">
        <f>-PV(BondCalculator!$B$9/12,B74,0,1,0)</f>
        <v>0.7017939424740125</v>
      </c>
      <c r="S74" s="24">
        <f t="shared" si="11"/>
        <v>1254.9472705014271</v>
      </c>
    </row>
    <row r="75" spans="1:19" ht="16.05" customHeight="1" x14ac:dyDescent="0.25">
      <c r="A75" s="19" t="s">
        <v>103</v>
      </c>
      <c r="B75" s="35">
        <v>72</v>
      </c>
      <c r="C75" s="20">
        <f t="shared" si="17"/>
        <v>2212835.4292527935</v>
      </c>
      <c r="D75" s="20">
        <f>IF(G74=0,0,IF(G74&lt;BondCalculator!$B$12,G74+E75,BondCalculator!$B$12))</f>
        <v>25804.709809401418</v>
      </c>
      <c r="E75" s="20">
        <f>C75*BondCalculator!$B$5/12</f>
        <v>20284.324768150607</v>
      </c>
      <c r="F75" s="20">
        <f t="shared" si="12"/>
        <v>5520.3850412508109</v>
      </c>
      <c r="G75" s="20">
        <f t="shared" si="13"/>
        <v>2207315.0442115427</v>
      </c>
      <c r="H75" s="26">
        <f t="shared" si="14"/>
        <v>0.88292601768461709</v>
      </c>
      <c r="J75" s="22">
        <f t="shared" si="15"/>
        <v>2013970.9687480307</v>
      </c>
      <c r="K75" s="22">
        <f>IF(N74=0,0,IF(N74&lt;BondCalculator!$B$12+BondCalculator!$B$7,N74+L75,BondCalculator!$B$12+BondCalculator!$B$7))</f>
        <v>27804.709809401418</v>
      </c>
      <c r="L75" s="22">
        <f>J75*BondCalculator!$B$5/12</f>
        <v>18461.400546856948</v>
      </c>
      <c r="M75" s="22">
        <f t="shared" si="16"/>
        <v>9343.3092625444697</v>
      </c>
      <c r="N75" s="22">
        <f t="shared" si="9"/>
        <v>2004627.6594854863</v>
      </c>
      <c r="P75" s="22">
        <f t="shared" si="10"/>
        <v>1822.9242212936588</v>
      </c>
      <c r="Q75" s="23">
        <f>-PV(BondCalculator!$B$9/12,B75,0,1,0)</f>
        <v>0.69830243032240058</v>
      </c>
      <c r="S75" s="24">
        <f t="shared" si="11"/>
        <v>1272.9524140229314</v>
      </c>
    </row>
    <row r="76" spans="1:19" ht="16.05" customHeight="1" x14ac:dyDescent="0.25">
      <c r="A76" s="19" t="s">
        <v>104</v>
      </c>
      <c r="B76" s="35">
        <v>73</v>
      </c>
      <c r="C76" s="20">
        <f t="shared" si="17"/>
        <v>2207315.0442115427</v>
      </c>
      <c r="D76" s="20">
        <f>IF(G75=0,0,IF(G75&lt;BondCalculator!$B$12,G75+E76,BondCalculator!$B$12))</f>
        <v>25804.709809401418</v>
      </c>
      <c r="E76" s="20">
        <f>C76*BondCalculator!$B$5/12</f>
        <v>20233.721238605809</v>
      </c>
      <c r="F76" s="20">
        <f t="shared" si="12"/>
        <v>5570.9885707956091</v>
      </c>
      <c r="G76" s="20">
        <f t="shared" si="13"/>
        <v>2201744.0556407473</v>
      </c>
      <c r="H76" s="26">
        <f t="shared" si="14"/>
        <v>0.88069762225629888</v>
      </c>
      <c r="J76" s="22">
        <f t="shared" si="15"/>
        <v>2004627.6594854863</v>
      </c>
      <c r="K76" s="22">
        <f>IF(N75=0,0,IF(N75&lt;BondCalculator!$B$12+BondCalculator!$B$7,N75+L76,BondCalculator!$B$12+BondCalculator!$B$7))</f>
        <v>27804.709809401418</v>
      </c>
      <c r="L76" s="22">
        <f>J76*BondCalculator!$B$5/12</f>
        <v>18375.753545283624</v>
      </c>
      <c r="M76" s="22">
        <f t="shared" si="16"/>
        <v>9428.9562641177945</v>
      </c>
      <c r="N76" s="22">
        <f t="shared" si="9"/>
        <v>1995198.7032213686</v>
      </c>
      <c r="P76" s="22">
        <f t="shared" si="10"/>
        <v>1857.9676933221854</v>
      </c>
      <c r="Q76" s="23">
        <f>-PV(BondCalculator!$B$9/12,B76,0,1,0)</f>
        <v>0.69482828887801051</v>
      </c>
      <c r="S76" s="24">
        <f t="shared" si="11"/>
        <v>1290.9685131416782</v>
      </c>
    </row>
    <row r="77" spans="1:19" ht="16.05" customHeight="1" x14ac:dyDescent="0.25">
      <c r="A77" s="19" t="s">
        <v>104</v>
      </c>
      <c r="B77" s="35">
        <v>74</v>
      </c>
      <c r="C77" s="20">
        <f t="shared" si="17"/>
        <v>2201744.0556407473</v>
      </c>
      <c r="D77" s="20">
        <f>IF(G76=0,0,IF(G76&lt;BondCalculator!$B$12,G76+E77,BondCalculator!$B$12))</f>
        <v>25804.709809401418</v>
      </c>
      <c r="E77" s="20">
        <f>C77*BondCalculator!$B$5/12</f>
        <v>20182.653843373515</v>
      </c>
      <c r="F77" s="20">
        <f t="shared" si="12"/>
        <v>5622.0559660279032</v>
      </c>
      <c r="G77" s="20">
        <f t="shared" si="13"/>
        <v>2196121.9996747193</v>
      </c>
      <c r="H77" s="26">
        <f t="shared" si="14"/>
        <v>0.87844879986988766</v>
      </c>
      <c r="J77" s="22">
        <f t="shared" si="15"/>
        <v>1995198.7032213686</v>
      </c>
      <c r="K77" s="22">
        <f>IF(N76=0,0,IF(N76&lt;BondCalculator!$B$12+BondCalculator!$B$7,N76+L77,BondCalculator!$B$12+BondCalculator!$B$7))</f>
        <v>27804.709809401418</v>
      </c>
      <c r="L77" s="22">
        <f>J77*BondCalculator!$B$5/12</f>
        <v>18289.321446195878</v>
      </c>
      <c r="M77" s="22">
        <f t="shared" si="16"/>
        <v>9515.3883632055404</v>
      </c>
      <c r="N77" s="22">
        <f t="shared" si="9"/>
        <v>1985683.314858163</v>
      </c>
      <c r="P77" s="22">
        <f t="shared" si="10"/>
        <v>1893.3323971776372</v>
      </c>
      <c r="Q77" s="23">
        <f>-PV(BondCalculator!$B$9/12,B77,0,1,0)</f>
        <v>0.69137143171941362</v>
      </c>
      <c r="S77" s="24">
        <f t="shared" si="11"/>
        <v>1308.9959301574524</v>
      </c>
    </row>
    <row r="78" spans="1:19" ht="16.05" customHeight="1" x14ac:dyDescent="0.25">
      <c r="A78" s="19" t="s">
        <v>104</v>
      </c>
      <c r="B78" s="35">
        <v>75</v>
      </c>
      <c r="C78" s="20">
        <f t="shared" si="17"/>
        <v>2196121.9996747193</v>
      </c>
      <c r="D78" s="20">
        <f>IF(G77=0,0,IF(G77&lt;BondCalculator!$B$12,G77+E78,BondCalculator!$B$12))</f>
        <v>25804.709809401418</v>
      </c>
      <c r="E78" s="20">
        <f>C78*BondCalculator!$B$5/12</f>
        <v>20131.118330351594</v>
      </c>
      <c r="F78" s="20">
        <f t="shared" si="12"/>
        <v>5673.5914790498246</v>
      </c>
      <c r="G78" s="20">
        <f t="shared" si="13"/>
        <v>2190448.4081956693</v>
      </c>
      <c r="H78" s="26">
        <f t="shared" si="14"/>
        <v>0.87617936327826773</v>
      </c>
      <c r="J78" s="22">
        <f t="shared" si="15"/>
        <v>1985683.314858163</v>
      </c>
      <c r="K78" s="22">
        <f>IF(N77=0,0,IF(N77&lt;BondCalculator!$B$12+BondCalculator!$B$7,N77+L78,BondCalculator!$B$12+BondCalculator!$B$7))</f>
        <v>27804.709809401418</v>
      </c>
      <c r="L78" s="22">
        <f>J78*BondCalculator!$B$5/12</f>
        <v>18202.097052866495</v>
      </c>
      <c r="M78" s="22">
        <f t="shared" si="16"/>
        <v>9602.6127565349234</v>
      </c>
      <c r="N78" s="22">
        <f t="shared" si="9"/>
        <v>1976080.7021016281</v>
      </c>
      <c r="P78" s="22">
        <f t="shared" si="10"/>
        <v>1929.0212774850988</v>
      </c>
      <c r="Q78" s="23">
        <f>-PV(BondCalculator!$B$9/12,B78,0,1,0)</f>
        <v>0.68793177285513807</v>
      </c>
      <c r="S78" s="24">
        <f t="shared" si="11"/>
        <v>1327.0350272956073</v>
      </c>
    </row>
    <row r="79" spans="1:19" ht="16.05" customHeight="1" x14ac:dyDescent="0.25">
      <c r="A79" s="19" t="s">
        <v>104</v>
      </c>
      <c r="B79" s="35">
        <v>76</v>
      </c>
      <c r="C79" s="20">
        <f t="shared" si="17"/>
        <v>2190448.4081956693</v>
      </c>
      <c r="D79" s="20">
        <f>IF(G78=0,0,IF(G78&lt;BondCalculator!$B$12,G78+E79,BondCalculator!$B$12))</f>
        <v>25804.709809401418</v>
      </c>
      <c r="E79" s="20">
        <f>C79*BondCalculator!$B$5/12</f>
        <v>20079.110408460303</v>
      </c>
      <c r="F79" s="20">
        <f t="shared" si="12"/>
        <v>5725.5994009411152</v>
      </c>
      <c r="G79" s="20">
        <f t="shared" si="13"/>
        <v>2184722.808794728</v>
      </c>
      <c r="H79" s="26">
        <f t="shared" si="14"/>
        <v>0.87388912351789116</v>
      </c>
      <c r="J79" s="22">
        <f t="shared" si="15"/>
        <v>1976080.7021016281</v>
      </c>
      <c r="K79" s="22">
        <f>IF(N78=0,0,IF(N78&lt;BondCalculator!$B$12+BondCalculator!$B$7,N78+L79,BondCalculator!$B$12+BondCalculator!$B$7))</f>
        <v>27804.709809401418</v>
      </c>
      <c r="L79" s="22">
        <f>J79*BondCalculator!$B$5/12</f>
        <v>18114.073102598257</v>
      </c>
      <c r="M79" s="22">
        <f t="shared" si="16"/>
        <v>9690.6367068031614</v>
      </c>
      <c r="N79" s="22">
        <f t="shared" si="9"/>
        <v>1966390.0653948248</v>
      </c>
      <c r="P79" s="22">
        <f t="shared" si="10"/>
        <v>1965.0373058620462</v>
      </c>
      <c r="Q79" s="23">
        <f>-PV(BondCalculator!$B$9/12,B79,0,1,0)</f>
        <v>0.68450922672153058</v>
      </c>
      <c r="S79" s="24">
        <f t="shared" si="11"/>
        <v>1345.0861667145891</v>
      </c>
    </row>
    <row r="80" spans="1:19" ht="16.05" customHeight="1" x14ac:dyDescent="0.25">
      <c r="A80" s="19" t="s">
        <v>104</v>
      </c>
      <c r="B80" s="35">
        <v>77</v>
      </c>
      <c r="C80" s="20">
        <f t="shared" si="17"/>
        <v>2184722.808794728</v>
      </c>
      <c r="D80" s="20">
        <f>IF(G79=0,0,IF(G79&lt;BondCalculator!$B$12,G79+E80,BondCalculator!$B$12))</f>
        <v>25804.709809401418</v>
      </c>
      <c r="E80" s="20">
        <f>C80*BondCalculator!$B$5/12</f>
        <v>20026.625747285008</v>
      </c>
      <c r="F80" s="20">
        <f t="shared" si="12"/>
        <v>5778.0840621164098</v>
      </c>
      <c r="G80" s="20">
        <f t="shared" si="13"/>
        <v>2178944.7247326118</v>
      </c>
      <c r="H80" s="26">
        <f t="shared" si="14"/>
        <v>0.87157788989304474</v>
      </c>
      <c r="J80" s="22">
        <f t="shared" si="15"/>
        <v>1966390.0653948248</v>
      </c>
      <c r="K80" s="22">
        <f>IF(N79=0,0,IF(N79&lt;BondCalculator!$B$12+BondCalculator!$B$7,N79+L80,BondCalculator!$B$12+BondCalculator!$B$7))</f>
        <v>27804.709809401418</v>
      </c>
      <c r="L80" s="22">
        <f>J80*BondCalculator!$B$5/12</f>
        <v>18025.242266119229</v>
      </c>
      <c r="M80" s="22">
        <f t="shared" si="16"/>
        <v>9779.4675432821896</v>
      </c>
      <c r="N80" s="22">
        <f t="shared" si="9"/>
        <v>1956610.5978515428</v>
      </c>
      <c r="P80" s="22">
        <f t="shared" si="10"/>
        <v>2001.3834811657798</v>
      </c>
      <c r="Q80" s="23">
        <f>-PV(BondCalculator!$B$9/12,B80,0,1,0)</f>
        <v>0.68110370818062749</v>
      </c>
      <c r="S80" s="24">
        <f t="shared" si="11"/>
        <v>1363.1497105134656</v>
      </c>
    </row>
    <row r="81" spans="1:19" ht="16.05" customHeight="1" x14ac:dyDescent="0.25">
      <c r="A81" s="19" t="s">
        <v>104</v>
      </c>
      <c r="B81" s="35">
        <v>78</v>
      </c>
      <c r="C81" s="20">
        <f t="shared" si="17"/>
        <v>2178944.7247326118</v>
      </c>
      <c r="D81" s="20">
        <f>IF(G80=0,0,IF(G80&lt;BondCalculator!$B$12,G80+E81,BondCalculator!$B$12))</f>
        <v>25804.709809401418</v>
      </c>
      <c r="E81" s="20">
        <f>C81*BondCalculator!$B$5/12</f>
        <v>19973.659976715608</v>
      </c>
      <c r="F81" s="20">
        <f t="shared" si="12"/>
        <v>5831.0498326858105</v>
      </c>
      <c r="G81" s="20">
        <f t="shared" si="13"/>
        <v>2173113.6748999259</v>
      </c>
      <c r="H81" s="26">
        <f t="shared" si="14"/>
        <v>0.86924546995997043</v>
      </c>
      <c r="J81" s="22">
        <f t="shared" si="15"/>
        <v>1956610.5978515428</v>
      </c>
      <c r="K81" s="22">
        <f>IF(N80=0,0,IF(N80&lt;BondCalculator!$B$12+BondCalculator!$B$7,N80+L81,BondCalculator!$B$12+BondCalculator!$B$7))</f>
        <v>27804.709809401418</v>
      </c>
      <c r="L81" s="22">
        <f>J81*BondCalculator!$B$5/12</f>
        <v>17935.597146972475</v>
      </c>
      <c r="M81" s="22">
        <f t="shared" si="16"/>
        <v>9869.1126624289427</v>
      </c>
      <c r="N81" s="22">
        <f t="shared" si="9"/>
        <v>1946741.4851891138</v>
      </c>
      <c r="P81" s="22">
        <f t="shared" si="10"/>
        <v>2038.0628297431322</v>
      </c>
      <c r="Q81" s="23">
        <f>-PV(BondCalculator!$B$9/12,B81,0,1,0)</f>
        <v>0.6777151325180375</v>
      </c>
      <c r="S81" s="24">
        <f t="shared" si="11"/>
        <v>1381.2260207394534</v>
      </c>
    </row>
    <row r="82" spans="1:19" ht="16.05" customHeight="1" x14ac:dyDescent="0.25">
      <c r="A82" s="19" t="s">
        <v>104</v>
      </c>
      <c r="B82" s="35">
        <v>79</v>
      </c>
      <c r="C82" s="20">
        <f t="shared" si="17"/>
        <v>2173113.6748999259</v>
      </c>
      <c r="D82" s="20">
        <f>IF(G81=0,0,IF(G81&lt;BondCalculator!$B$12,G81+E82,BondCalculator!$B$12))</f>
        <v>25804.709809401418</v>
      </c>
      <c r="E82" s="20">
        <f>C82*BondCalculator!$B$5/12</f>
        <v>19920.208686582653</v>
      </c>
      <c r="F82" s="20">
        <f t="shared" si="12"/>
        <v>5884.501122818765</v>
      </c>
      <c r="G82" s="20">
        <f t="shared" si="13"/>
        <v>2167229.1737771071</v>
      </c>
      <c r="H82" s="26">
        <f t="shared" si="14"/>
        <v>0.86689166951084284</v>
      </c>
      <c r="J82" s="22">
        <f t="shared" si="15"/>
        <v>1946741.4851891138</v>
      </c>
      <c r="K82" s="22">
        <f>IF(N81=0,0,IF(N81&lt;BondCalculator!$B$12+BondCalculator!$B$7,N81+L82,BondCalculator!$B$12+BondCalculator!$B$7))</f>
        <v>27804.709809401418</v>
      </c>
      <c r="L82" s="22">
        <f>J82*BondCalculator!$B$5/12</f>
        <v>17845.130280900212</v>
      </c>
      <c r="M82" s="22">
        <f t="shared" si="16"/>
        <v>9959.5795285012064</v>
      </c>
      <c r="N82" s="22">
        <f t="shared" si="9"/>
        <v>1936781.9056606125</v>
      </c>
      <c r="P82" s="22">
        <f t="shared" si="10"/>
        <v>2075.0784056824414</v>
      </c>
      <c r="Q82" s="23">
        <f>-PV(BondCalculator!$B$9/12,B82,0,1,0)</f>
        <v>0.67434341544083343</v>
      </c>
      <c r="S82" s="24">
        <f t="shared" si="11"/>
        <v>1399.3154593954168</v>
      </c>
    </row>
    <row r="83" spans="1:19" ht="16.05" customHeight="1" x14ac:dyDescent="0.25">
      <c r="A83" s="19" t="s">
        <v>104</v>
      </c>
      <c r="B83" s="35">
        <v>80</v>
      </c>
      <c r="C83" s="20">
        <f t="shared" si="17"/>
        <v>2167229.1737771071</v>
      </c>
      <c r="D83" s="20">
        <f>IF(G82=0,0,IF(G82&lt;BondCalculator!$B$12,G82+E83,BondCalculator!$B$12))</f>
        <v>25804.709809401418</v>
      </c>
      <c r="E83" s="20">
        <f>C83*BondCalculator!$B$5/12</f>
        <v>19866.267426290149</v>
      </c>
      <c r="F83" s="20">
        <f t="shared" si="12"/>
        <v>5938.442383111269</v>
      </c>
      <c r="G83" s="20">
        <f t="shared" si="13"/>
        <v>2161290.7313939957</v>
      </c>
      <c r="H83" s="26">
        <f t="shared" si="14"/>
        <v>0.86451629255759832</v>
      </c>
      <c r="J83" s="22">
        <f t="shared" si="15"/>
        <v>1936781.9056606125</v>
      </c>
      <c r="K83" s="22">
        <f>IF(N82=0,0,IF(N82&lt;BondCalculator!$B$12+BondCalculator!$B$7,N82+L83,BondCalculator!$B$12+BondCalculator!$B$7))</f>
        <v>27804.709809401418</v>
      </c>
      <c r="L83" s="22">
        <f>J83*BondCalculator!$B$5/12</f>
        <v>17753.834135222281</v>
      </c>
      <c r="M83" s="22">
        <f t="shared" si="16"/>
        <v>10050.875674179137</v>
      </c>
      <c r="N83" s="22">
        <f t="shared" si="9"/>
        <v>1926731.0299864335</v>
      </c>
      <c r="P83" s="22">
        <f t="shared" si="10"/>
        <v>2112.4332910678677</v>
      </c>
      <c r="Q83" s="23">
        <f>-PV(BondCalculator!$B$9/12,B83,0,1,0)</f>
        <v>0.67098847307545617</v>
      </c>
      <c r="S83" s="24">
        <f t="shared" si="11"/>
        <v>1417.4183884473891</v>
      </c>
    </row>
    <row r="84" spans="1:19" ht="16.05" customHeight="1" x14ac:dyDescent="0.25">
      <c r="A84" s="19" t="s">
        <v>104</v>
      </c>
      <c r="B84" s="35">
        <v>81</v>
      </c>
      <c r="C84" s="20">
        <f t="shared" si="17"/>
        <v>2161290.7313939957</v>
      </c>
      <c r="D84" s="20">
        <f>IF(G83=0,0,IF(G83&lt;BondCalculator!$B$12,G83+E84,BondCalculator!$B$12))</f>
        <v>25804.709809401418</v>
      </c>
      <c r="E84" s="20">
        <f>C84*BondCalculator!$B$5/12</f>
        <v>19811.831704444961</v>
      </c>
      <c r="F84" s="20">
        <f t="shared" si="12"/>
        <v>5992.8781049564568</v>
      </c>
      <c r="G84" s="20">
        <f t="shared" si="13"/>
        <v>2155297.8532890393</v>
      </c>
      <c r="H84" s="26">
        <f t="shared" si="14"/>
        <v>0.86211914131561573</v>
      </c>
      <c r="J84" s="22">
        <f t="shared" si="15"/>
        <v>1926731.0299864335</v>
      </c>
      <c r="K84" s="22">
        <f>IF(N83=0,0,IF(N83&lt;BondCalculator!$B$12+BondCalculator!$B$7,N83+L84,BondCalculator!$B$12+BondCalculator!$B$7))</f>
        <v>27804.709809401418</v>
      </c>
      <c r="L84" s="22">
        <f>J84*BondCalculator!$B$5/12</f>
        <v>17661.701108208974</v>
      </c>
      <c r="M84" s="22">
        <f t="shared" si="16"/>
        <v>10143.008701192444</v>
      </c>
      <c r="N84" s="22">
        <f t="shared" si="9"/>
        <v>1916588.021285241</v>
      </c>
      <c r="P84" s="22">
        <f t="shared" si="10"/>
        <v>2150.1305962359875</v>
      </c>
      <c r="Q84" s="23">
        <f>-PV(BondCalculator!$B$9/12,B84,0,1,0)</f>
        <v>0.66765022196562807</v>
      </c>
      <c r="S84" s="24">
        <f t="shared" si="11"/>
        <v>1435.5351698320453</v>
      </c>
    </row>
    <row r="85" spans="1:19" ht="16.05" customHeight="1" x14ac:dyDescent="0.25">
      <c r="A85" s="19" t="s">
        <v>104</v>
      </c>
      <c r="B85" s="35">
        <v>82</v>
      </c>
      <c r="C85" s="20">
        <f t="shared" si="17"/>
        <v>2155297.8532890393</v>
      </c>
      <c r="D85" s="20">
        <f>IF(G84=0,0,IF(G84&lt;BondCalculator!$B$12,G84+E85,BondCalculator!$B$12))</f>
        <v>25804.709809401418</v>
      </c>
      <c r="E85" s="20">
        <f>C85*BondCalculator!$B$5/12</f>
        <v>19756.896988482858</v>
      </c>
      <c r="F85" s="20">
        <f t="shared" si="12"/>
        <v>6047.8128209185597</v>
      </c>
      <c r="G85" s="20">
        <f t="shared" si="13"/>
        <v>2149250.0404681209</v>
      </c>
      <c r="H85" s="26">
        <f t="shared" si="14"/>
        <v>0.85970001618724834</v>
      </c>
      <c r="J85" s="22">
        <f t="shared" si="15"/>
        <v>1916588.021285241</v>
      </c>
      <c r="K85" s="22">
        <f>IF(N84=0,0,IF(N84&lt;BondCalculator!$B$12+BondCalculator!$B$7,N84+L85,BondCalculator!$B$12+BondCalculator!$B$7))</f>
        <v>27804.709809401418</v>
      </c>
      <c r="L85" s="22">
        <f>J85*BondCalculator!$B$5/12</f>
        <v>17568.723528448045</v>
      </c>
      <c r="M85" s="22">
        <f t="shared" si="16"/>
        <v>10235.986280953373</v>
      </c>
      <c r="N85" s="22">
        <f t="shared" si="9"/>
        <v>1906352.0350042877</v>
      </c>
      <c r="P85" s="22">
        <f t="shared" si="10"/>
        <v>2188.1734600348136</v>
      </c>
      <c r="Q85" s="23">
        <f>-PV(BondCalculator!$B$9/12,B85,0,1,0)</f>
        <v>0.66432857907027687</v>
      </c>
      <c r="S85" s="24">
        <f t="shared" si="11"/>
        <v>1453.6661654642189</v>
      </c>
    </row>
    <row r="86" spans="1:19" ht="16.05" customHeight="1" x14ac:dyDescent="0.25">
      <c r="A86" s="19" t="s">
        <v>104</v>
      </c>
      <c r="B86" s="35">
        <v>83</v>
      </c>
      <c r="C86" s="20">
        <f t="shared" si="17"/>
        <v>2149250.0404681209</v>
      </c>
      <c r="D86" s="20">
        <f>IF(G85=0,0,IF(G85&lt;BondCalculator!$B$12,G85+E86,BondCalculator!$B$12))</f>
        <v>25804.709809401418</v>
      </c>
      <c r="E86" s="20">
        <f>C86*BondCalculator!$B$5/12</f>
        <v>19701.458704291108</v>
      </c>
      <c r="F86" s="20">
        <f t="shared" si="12"/>
        <v>6103.2511051103102</v>
      </c>
      <c r="G86" s="20">
        <f t="shared" si="13"/>
        <v>2143146.7893630108</v>
      </c>
      <c r="H86" s="26">
        <f t="shared" si="14"/>
        <v>0.85725871574520429</v>
      </c>
      <c r="J86" s="22">
        <f t="shared" si="15"/>
        <v>1906352.0350042877</v>
      </c>
      <c r="K86" s="22">
        <f>IF(N85=0,0,IF(N85&lt;BondCalculator!$B$12+BondCalculator!$B$7,N85+L86,BondCalculator!$B$12+BondCalculator!$B$7))</f>
        <v>27804.709809401418</v>
      </c>
      <c r="L86" s="22">
        <f>J86*BondCalculator!$B$5/12</f>
        <v>17474.893654205971</v>
      </c>
      <c r="M86" s="22">
        <f t="shared" si="16"/>
        <v>10329.816155195447</v>
      </c>
      <c r="N86" s="22">
        <f t="shared" si="9"/>
        <v>1896022.2188490923</v>
      </c>
      <c r="P86" s="22">
        <f t="shared" si="10"/>
        <v>2226.565050085137</v>
      </c>
      <c r="Q86" s="23">
        <f>-PV(BondCalculator!$B$9/12,B86,0,1,0)</f>
        <v>0.66102346176146964</v>
      </c>
      <c r="S86" s="24">
        <f t="shared" si="11"/>
        <v>1471.8117372443774</v>
      </c>
    </row>
    <row r="87" spans="1:19" ht="16.05" customHeight="1" x14ac:dyDescent="0.25">
      <c r="A87" s="19" t="s">
        <v>104</v>
      </c>
      <c r="B87" s="35">
        <v>84</v>
      </c>
      <c r="C87" s="20">
        <f t="shared" si="17"/>
        <v>2143146.7893630108</v>
      </c>
      <c r="D87" s="20">
        <f>IF(G86=0,0,IF(G86&lt;BondCalculator!$B$12,G86+E87,BondCalculator!$B$12))</f>
        <v>25804.709809401418</v>
      </c>
      <c r="E87" s="20">
        <f>C87*BondCalculator!$B$5/12</f>
        <v>19645.512235827598</v>
      </c>
      <c r="F87" s="20">
        <f t="shared" si="12"/>
        <v>6159.1975735738197</v>
      </c>
      <c r="G87" s="20">
        <f t="shared" si="13"/>
        <v>2136987.591789437</v>
      </c>
      <c r="H87" s="26">
        <f t="shared" si="14"/>
        <v>0.85479503671577484</v>
      </c>
      <c r="J87" s="22">
        <f t="shared" si="15"/>
        <v>1896022.2188490923</v>
      </c>
      <c r="K87" s="22">
        <f>IF(N86=0,0,IF(N86&lt;BondCalculator!$B$12+BondCalculator!$B$7,N86+L87,BondCalculator!$B$12+BondCalculator!$B$7))</f>
        <v>27804.709809401418</v>
      </c>
      <c r="L87" s="22">
        <f>J87*BondCalculator!$B$5/12</f>
        <v>17380.203672783344</v>
      </c>
      <c r="M87" s="22">
        <f t="shared" si="16"/>
        <v>10424.506136618074</v>
      </c>
      <c r="N87" s="22">
        <f t="shared" si="9"/>
        <v>1885597.7127124742</v>
      </c>
      <c r="P87" s="22">
        <f t="shared" si="10"/>
        <v>2265.3085630442547</v>
      </c>
      <c r="Q87" s="23">
        <f>-PV(BondCalculator!$B$9/12,B87,0,1,0)</f>
        <v>0.65773478782235784</v>
      </c>
      <c r="S87" s="24">
        <f t="shared" si="11"/>
        <v>1489.9722470660831</v>
      </c>
    </row>
    <row r="88" spans="1:19" ht="16.05" customHeight="1" x14ac:dyDescent="0.25">
      <c r="A88" s="19" t="s">
        <v>105</v>
      </c>
      <c r="B88" s="35">
        <v>85</v>
      </c>
      <c r="C88" s="20">
        <f t="shared" si="17"/>
        <v>2136987.591789437</v>
      </c>
      <c r="D88" s="20">
        <f>IF(G87=0,0,IF(G87&lt;BondCalculator!$B$12,G87+E88,BondCalculator!$B$12))</f>
        <v>25804.709809401418</v>
      </c>
      <c r="E88" s="20">
        <f>C88*BondCalculator!$B$5/12</f>
        <v>19589.052924736505</v>
      </c>
      <c r="F88" s="20">
        <f t="shared" si="12"/>
        <v>6215.6568846649134</v>
      </c>
      <c r="G88" s="20">
        <f t="shared" si="13"/>
        <v>2130771.9349047719</v>
      </c>
      <c r="H88" s="26">
        <f t="shared" si="14"/>
        <v>0.85230877396190874</v>
      </c>
      <c r="J88" s="22">
        <f t="shared" si="15"/>
        <v>1885597.7127124742</v>
      </c>
      <c r="K88" s="22">
        <f>IF(N87=0,0,IF(N87&lt;BondCalculator!$B$12+BondCalculator!$B$7,N87+L88,BondCalculator!$B$12+BondCalculator!$B$7))</f>
        <v>27804.709809401418</v>
      </c>
      <c r="L88" s="22">
        <f>J88*BondCalculator!$B$5/12</f>
        <v>17284.645699864344</v>
      </c>
      <c r="M88" s="22">
        <f t="shared" si="16"/>
        <v>10520.064109537074</v>
      </c>
      <c r="N88" s="22">
        <f t="shared" si="9"/>
        <v>1875077.6486029371</v>
      </c>
      <c r="P88" s="22">
        <f t="shared" si="10"/>
        <v>2304.4072248721604</v>
      </c>
      <c r="Q88" s="23">
        <f>-PV(BondCalculator!$B$9/12,B88,0,1,0)</f>
        <v>0.65446247544513247</v>
      </c>
      <c r="S88" s="24">
        <f t="shared" si="11"/>
        <v>1508.1480568234822</v>
      </c>
    </row>
    <row r="89" spans="1:19" ht="16.05" customHeight="1" x14ac:dyDescent="0.25">
      <c r="A89" s="19" t="s">
        <v>105</v>
      </c>
      <c r="B89" s="35">
        <v>86</v>
      </c>
      <c r="C89" s="20">
        <f t="shared" si="17"/>
        <v>2130771.9349047719</v>
      </c>
      <c r="D89" s="20">
        <f>IF(G88=0,0,IF(G88&lt;BondCalculator!$B$12,G88+E89,BondCalculator!$B$12))</f>
        <v>25804.709809401418</v>
      </c>
      <c r="E89" s="20">
        <f>C89*BondCalculator!$B$5/12</f>
        <v>19532.076069960411</v>
      </c>
      <c r="F89" s="20">
        <f t="shared" si="12"/>
        <v>6272.6337394410075</v>
      </c>
      <c r="G89" s="20">
        <f t="shared" si="13"/>
        <v>2124499.3011653307</v>
      </c>
      <c r="H89" s="26">
        <f t="shared" si="14"/>
        <v>0.84979972046613228</v>
      </c>
      <c r="J89" s="22">
        <f t="shared" si="15"/>
        <v>1875077.6486029371</v>
      </c>
      <c r="K89" s="22">
        <f>IF(N88=0,0,IF(N88&lt;BondCalculator!$B$12+BondCalculator!$B$7,N88+L89,BondCalculator!$B$12+BondCalculator!$B$7))</f>
        <v>27804.709809401418</v>
      </c>
      <c r="L89" s="22">
        <f>J89*BondCalculator!$B$5/12</f>
        <v>17188.211778860259</v>
      </c>
      <c r="M89" s="22">
        <f t="shared" si="16"/>
        <v>10616.498030541159</v>
      </c>
      <c r="N89" s="22">
        <f t="shared" si="9"/>
        <v>1864461.1505723959</v>
      </c>
      <c r="P89" s="22">
        <f t="shared" si="10"/>
        <v>2343.8642911001516</v>
      </c>
      <c r="Q89" s="23">
        <f>-PV(BondCalculator!$B$9/12,B89,0,1,0)</f>
        <v>0.65120644322898757</v>
      </c>
      <c r="S89" s="24">
        <f t="shared" si="11"/>
        <v>1526.339528418762</v>
      </c>
    </row>
    <row r="90" spans="1:19" ht="16.05" customHeight="1" x14ac:dyDescent="0.25">
      <c r="A90" s="19" t="s">
        <v>105</v>
      </c>
      <c r="B90" s="35">
        <v>87</v>
      </c>
      <c r="C90" s="20">
        <f t="shared" si="17"/>
        <v>2124499.3011653307</v>
      </c>
      <c r="D90" s="20">
        <f>IF(G89=0,0,IF(G89&lt;BondCalculator!$B$12,G89+E90,BondCalculator!$B$12))</f>
        <v>25804.709809401418</v>
      </c>
      <c r="E90" s="20">
        <f>C90*BondCalculator!$B$5/12</f>
        <v>19474.576927348866</v>
      </c>
      <c r="F90" s="20">
        <f t="shared" si="12"/>
        <v>6330.1328820525523</v>
      </c>
      <c r="G90" s="20">
        <f t="shared" si="13"/>
        <v>2118169.1682832781</v>
      </c>
      <c r="H90" s="26">
        <f t="shared" si="14"/>
        <v>0.84726766731331127</v>
      </c>
      <c r="J90" s="22">
        <f t="shared" si="15"/>
        <v>1864461.1505723959</v>
      </c>
      <c r="K90" s="22">
        <f>IF(N89=0,0,IF(N89&lt;BondCalculator!$B$12+BondCalculator!$B$7,N89+L90,BondCalculator!$B$12+BondCalculator!$B$7))</f>
        <v>27804.709809401418</v>
      </c>
      <c r="L90" s="22">
        <f>J90*BondCalculator!$B$5/12</f>
        <v>17090.89388024696</v>
      </c>
      <c r="M90" s="22">
        <f t="shared" si="16"/>
        <v>10713.815929154458</v>
      </c>
      <c r="N90" s="22">
        <f t="shared" si="9"/>
        <v>1853747.3346432415</v>
      </c>
      <c r="P90" s="22">
        <f t="shared" si="10"/>
        <v>2383.6830471019057</v>
      </c>
      <c r="Q90" s="23">
        <f>-PV(BondCalculator!$B$9/12,B90,0,1,0)</f>
        <v>0.64796661017809731</v>
      </c>
      <c r="S90" s="24">
        <f t="shared" si="11"/>
        <v>1544.5470237696197</v>
      </c>
    </row>
    <row r="91" spans="1:19" ht="16.05" customHeight="1" x14ac:dyDescent="0.25">
      <c r="A91" s="19" t="s">
        <v>105</v>
      </c>
      <c r="B91" s="35">
        <v>88</v>
      </c>
      <c r="C91" s="20">
        <f t="shared" si="17"/>
        <v>2118169.1682832781</v>
      </c>
      <c r="D91" s="20">
        <f>IF(G90=0,0,IF(G90&lt;BondCalculator!$B$12,G90+E91,BondCalculator!$B$12))</f>
        <v>25804.709809401418</v>
      </c>
      <c r="E91" s="20">
        <f>C91*BondCalculator!$B$5/12</f>
        <v>19416.550709263382</v>
      </c>
      <c r="F91" s="20">
        <f t="shared" si="12"/>
        <v>6388.1591001380366</v>
      </c>
      <c r="G91" s="20">
        <f t="shared" si="13"/>
        <v>2111781.00918314</v>
      </c>
      <c r="H91" s="26">
        <f t="shared" si="14"/>
        <v>0.84471240367325595</v>
      </c>
      <c r="J91" s="22">
        <f t="shared" si="15"/>
        <v>1853747.3346432415</v>
      </c>
      <c r="K91" s="22">
        <f>IF(N90=0,0,IF(N90&lt;BondCalculator!$B$12+BondCalculator!$B$7,N90+L91,BondCalculator!$B$12+BondCalculator!$B$7))</f>
        <v>27804.709809401418</v>
      </c>
      <c r="L91" s="22">
        <f>J91*BondCalculator!$B$5/12</f>
        <v>16992.68390089638</v>
      </c>
      <c r="M91" s="22">
        <f t="shared" si="16"/>
        <v>10812.025908505038</v>
      </c>
      <c r="N91" s="22">
        <f t="shared" si="9"/>
        <v>1842935.3087347364</v>
      </c>
      <c r="P91" s="22">
        <f t="shared" si="10"/>
        <v>2423.8668083670018</v>
      </c>
      <c r="Q91" s="23">
        <f>-PV(BondCalculator!$B$9/12,B91,0,1,0)</f>
        <v>0.64474289569959919</v>
      </c>
      <c r="S91" s="24">
        <f t="shared" si="11"/>
        <v>1562.7709048166862</v>
      </c>
    </row>
    <row r="92" spans="1:19" ht="16.05" customHeight="1" x14ac:dyDescent="0.25">
      <c r="A92" s="19" t="s">
        <v>105</v>
      </c>
      <c r="B92" s="35">
        <v>89</v>
      </c>
      <c r="C92" s="20">
        <f t="shared" si="17"/>
        <v>2111781.00918314</v>
      </c>
      <c r="D92" s="20">
        <f>IF(G91=0,0,IF(G91&lt;BondCalculator!$B$12,G91+E92,BondCalculator!$B$12))</f>
        <v>25804.709809401418</v>
      </c>
      <c r="E92" s="20">
        <f>C92*BondCalculator!$B$5/12</f>
        <v>19357.992584178784</v>
      </c>
      <c r="F92" s="20">
        <f t="shared" si="12"/>
        <v>6446.7172252226337</v>
      </c>
      <c r="G92" s="20">
        <f t="shared" si="13"/>
        <v>2105334.2919579172</v>
      </c>
      <c r="H92" s="26">
        <f t="shared" si="14"/>
        <v>0.84213371678316684</v>
      </c>
      <c r="J92" s="22">
        <f t="shared" si="15"/>
        <v>1842935.3087347364</v>
      </c>
      <c r="K92" s="22">
        <f>IF(N91=0,0,IF(N91&lt;BondCalculator!$B$12+BondCalculator!$B$7,N91+L92,BondCalculator!$B$12+BondCalculator!$B$7))</f>
        <v>27804.709809401418</v>
      </c>
      <c r="L92" s="22">
        <f>J92*BondCalculator!$B$5/12</f>
        <v>16893.573663401748</v>
      </c>
      <c r="M92" s="22">
        <f t="shared" si="16"/>
        <v>10911.13614599967</v>
      </c>
      <c r="N92" s="22">
        <f t="shared" si="9"/>
        <v>1832024.1725887368</v>
      </c>
      <c r="P92" s="22">
        <f t="shared" si="10"/>
        <v>2464.418920777036</v>
      </c>
      <c r="Q92" s="23">
        <f>-PV(BondCalculator!$B$9/12,B92,0,1,0)</f>
        <v>0.64153521960159132</v>
      </c>
      <c r="S92" s="24">
        <f t="shared" si="11"/>
        <v>1581.0115335310124</v>
      </c>
    </row>
    <row r="93" spans="1:19" ht="16.05" customHeight="1" x14ac:dyDescent="0.25">
      <c r="A93" s="19" t="s">
        <v>105</v>
      </c>
      <c r="B93" s="35">
        <v>90</v>
      </c>
      <c r="C93" s="20">
        <f t="shared" si="17"/>
        <v>2105334.2919579172</v>
      </c>
      <c r="D93" s="20">
        <f>IF(G92=0,0,IF(G92&lt;BondCalculator!$B$12,G92+E93,BondCalculator!$B$12))</f>
        <v>25804.709809401418</v>
      </c>
      <c r="E93" s="20">
        <f>C93*BondCalculator!$B$5/12</f>
        <v>19298.897676280907</v>
      </c>
      <c r="F93" s="20">
        <f t="shared" si="12"/>
        <v>6505.8121331205111</v>
      </c>
      <c r="G93" s="20">
        <f t="shared" si="13"/>
        <v>2098828.4798247968</v>
      </c>
      <c r="H93" s="26">
        <f t="shared" si="14"/>
        <v>0.83953139192991877</v>
      </c>
      <c r="J93" s="22">
        <f t="shared" si="15"/>
        <v>1832024.1725887368</v>
      </c>
      <c r="K93" s="22">
        <f>IF(N92=0,0,IF(N92&lt;BondCalculator!$B$12+BondCalculator!$B$7,N92+L93,BondCalculator!$B$12+BondCalculator!$B$7))</f>
        <v>27804.709809401418</v>
      </c>
      <c r="L93" s="22">
        <f>J93*BondCalculator!$B$5/12</f>
        <v>16793.554915396755</v>
      </c>
      <c r="M93" s="22">
        <f t="shared" si="16"/>
        <v>11011.154894004663</v>
      </c>
      <c r="N93" s="22">
        <f t="shared" si="9"/>
        <v>1821013.0176947322</v>
      </c>
      <c r="P93" s="22">
        <f t="shared" si="10"/>
        <v>2505.3427608841521</v>
      </c>
      <c r="Q93" s="23">
        <f>-PV(BondCalculator!$B$9/12,B93,0,1,0)</f>
        <v>0.63834350209113577</v>
      </c>
      <c r="S93" s="24">
        <f t="shared" si="11"/>
        <v>1599.2692719214647</v>
      </c>
    </row>
    <row r="94" spans="1:19" ht="16.05" customHeight="1" x14ac:dyDescent="0.25">
      <c r="A94" s="19" t="s">
        <v>105</v>
      </c>
      <c r="B94" s="35">
        <v>91</v>
      </c>
      <c r="C94" s="20">
        <f t="shared" si="17"/>
        <v>2098828.4798247968</v>
      </c>
      <c r="D94" s="20">
        <f>IF(G93=0,0,IF(G93&lt;BondCalculator!$B$12,G93+E94,BondCalculator!$B$12))</f>
        <v>25804.709809401418</v>
      </c>
      <c r="E94" s="20">
        <f>C94*BondCalculator!$B$5/12</f>
        <v>19239.261065060637</v>
      </c>
      <c r="F94" s="20">
        <f t="shared" si="12"/>
        <v>6565.4487443407816</v>
      </c>
      <c r="G94" s="20">
        <f t="shared" si="13"/>
        <v>2092263.031080456</v>
      </c>
      <c r="H94" s="26">
        <f t="shared" si="14"/>
        <v>0.83690521243218241</v>
      </c>
      <c r="J94" s="22">
        <f t="shared" si="15"/>
        <v>1821013.0176947322</v>
      </c>
      <c r="K94" s="22">
        <f>IF(N93=0,0,IF(N93&lt;BondCalculator!$B$12+BondCalculator!$B$7,N93+L94,BondCalculator!$B$12+BondCalculator!$B$7))</f>
        <v>27804.709809401418</v>
      </c>
      <c r="L94" s="22">
        <f>J94*BondCalculator!$B$5/12</f>
        <v>16692.619328868379</v>
      </c>
      <c r="M94" s="22">
        <f t="shared" si="16"/>
        <v>11112.090480533039</v>
      </c>
      <c r="N94" s="22">
        <f t="shared" si="9"/>
        <v>1809900.9272141992</v>
      </c>
      <c r="P94" s="22">
        <f t="shared" si="10"/>
        <v>2546.6417361922577</v>
      </c>
      <c r="Q94" s="23">
        <f>-PV(BondCalculator!$B$9/12,B94,0,1,0)</f>
        <v>0.63516766377227452</v>
      </c>
      <c r="S94" s="24">
        <f t="shared" si="11"/>
        <v>1617.5444820422053</v>
      </c>
    </row>
    <row r="95" spans="1:19" ht="16.05" customHeight="1" x14ac:dyDescent="0.25">
      <c r="A95" s="19" t="s">
        <v>105</v>
      </c>
      <c r="B95" s="35">
        <v>92</v>
      </c>
      <c r="C95" s="20">
        <f t="shared" si="17"/>
        <v>2092263.031080456</v>
      </c>
      <c r="D95" s="20">
        <f>IF(G94=0,0,IF(G94&lt;BondCalculator!$B$12,G94+E95,BondCalculator!$B$12))</f>
        <v>25804.709809401418</v>
      </c>
      <c r="E95" s="20">
        <f>C95*BondCalculator!$B$5/12</f>
        <v>19179.077784904181</v>
      </c>
      <c r="F95" s="20">
        <f t="shared" si="12"/>
        <v>6625.6320244972376</v>
      </c>
      <c r="G95" s="20">
        <f t="shared" si="13"/>
        <v>2085637.3990559587</v>
      </c>
      <c r="H95" s="26">
        <f t="shared" si="14"/>
        <v>0.8342549596223835</v>
      </c>
      <c r="J95" s="22">
        <f t="shared" si="15"/>
        <v>1809900.9272141992</v>
      </c>
      <c r="K95" s="22">
        <f>IF(N94=0,0,IF(N94&lt;BondCalculator!$B$12+BondCalculator!$B$7,N94+L95,BondCalculator!$B$12+BondCalculator!$B$7))</f>
        <v>27804.709809401418</v>
      </c>
      <c r="L95" s="22">
        <f>J95*BondCalculator!$B$5/12</f>
        <v>16590.758499463493</v>
      </c>
      <c r="M95" s="22">
        <f t="shared" si="16"/>
        <v>11213.951309937926</v>
      </c>
      <c r="N95" s="22">
        <f t="shared" si="9"/>
        <v>1798686.9759042612</v>
      </c>
      <c r="P95" s="22">
        <f t="shared" si="10"/>
        <v>2588.319285440688</v>
      </c>
      <c r="Q95" s="23">
        <f>-PV(BondCalculator!$B$9/12,B95,0,1,0)</f>
        <v>0.63200762564405433</v>
      </c>
      <c r="S95" s="24">
        <f t="shared" si="11"/>
        <v>1635.8375260000846</v>
      </c>
    </row>
    <row r="96" spans="1:19" ht="16.05" customHeight="1" x14ac:dyDescent="0.25">
      <c r="A96" s="19" t="s">
        <v>105</v>
      </c>
      <c r="B96" s="35">
        <v>93</v>
      </c>
      <c r="C96" s="20">
        <f t="shared" si="17"/>
        <v>2085637.3990559587</v>
      </c>
      <c r="D96" s="20">
        <f>IF(G95=0,0,IF(G95&lt;BondCalculator!$B$12,G95+E96,BondCalculator!$B$12))</f>
        <v>25804.709809401418</v>
      </c>
      <c r="E96" s="20">
        <f>C96*BondCalculator!$B$5/12</f>
        <v>19118.342824679621</v>
      </c>
      <c r="F96" s="20">
        <f t="shared" si="12"/>
        <v>6686.3669847217971</v>
      </c>
      <c r="G96" s="20">
        <f t="shared" si="13"/>
        <v>2078951.032071237</v>
      </c>
      <c r="H96" s="26">
        <f t="shared" si="14"/>
        <v>0.83158041282849482</v>
      </c>
      <c r="J96" s="22">
        <f t="shared" si="15"/>
        <v>1798686.9759042612</v>
      </c>
      <c r="K96" s="22">
        <f>IF(N95=0,0,IF(N95&lt;BondCalculator!$B$12+BondCalculator!$B$7,N95+L96,BondCalculator!$B$12+BondCalculator!$B$7))</f>
        <v>27804.709809401418</v>
      </c>
      <c r="L96" s="22">
        <f>J96*BondCalculator!$B$5/12</f>
        <v>16487.963945789063</v>
      </c>
      <c r="M96" s="22">
        <f t="shared" si="16"/>
        <v>11316.745863612356</v>
      </c>
      <c r="N96" s="22">
        <f t="shared" si="9"/>
        <v>1787370.230040649</v>
      </c>
      <c r="P96" s="22">
        <f t="shared" si="10"/>
        <v>2630.3788788905586</v>
      </c>
      <c r="Q96" s="23">
        <f>-PV(BondCalculator!$B$9/12,B96,0,1,0)</f>
        <v>0.62886330909856158</v>
      </c>
      <c r="S96" s="24">
        <f t="shared" si="11"/>
        <v>1654.1487659620811</v>
      </c>
    </row>
    <row r="97" spans="1:19" ht="16.05" customHeight="1" x14ac:dyDescent="0.25">
      <c r="A97" s="19" t="s">
        <v>105</v>
      </c>
      <c r="B97" s="35">
        <v>94</v>
      </c>
      <c r="C97" s="20">
        <f t="shared" si="17"/>
        <v>2078951.032071237</v>
      </c>
      <c r="D97" s="20">
        <f>IF(G96=0,0,IF(G96&lt;BondCalculator!$B$12,G96+E97,BondCalculator!$B$12))</f>
        <v>25804.709809401418</v>
      </c>
      <c r="E97" s="20">
        <f>C97*BondCalculator!$B$5/12</f>
        <v>19057.051127319672</v>
      </c>
      <c r="F97" s="20">
        <f t="shared" si="12"/>
        <v>6747.6586820817465</v>
      </c>
      <c r="G97" s="20">
        <f t="shared" si="13"/>
        <v>2072203.3733891551</v>
      </c>
      <c r="H97" s="26">
        <f t="shared" si="14"/>
        <v>0.82888134935566204</v>
      </c>
      <c r="J97" s="22">
        <f t="shared" si="15"/>
        <v>1787370.230040649</v>
      </c>
      <c r="K97" s="22">
        <f>IF(N96=0,0,IF(N96&lt;BondCalculator!$B$12+BondCalculator!$B$7,N96+L97,BondCalculator!$B$12+BondCalculator!$B$7))</f>
        <v>27804.709809401418</v>
      </c>
      <c r="L97" s="22">
        <f>J97*BondCalculator!$B$5/12</f>
        <v>16384.227108705949</v>
      </c>
      <c r="M97" s="22">
        <f t="shared" si="16"/>
        <v>11420.482700695469</v>
      </c>
      <c r="N97" s="22">
        <f t="shared" si="9"/>
        <v>1775949.7473399534</v>
      </c>
      <c r="P97" s="22">
        <f t="shared" si="10"/>
        <v>2672.8240186137227</v>
      </c>
      <c r="Q97" s="23">
        <f>-PV(BondCalculator!$B$9/12,B97,0,1,0)</f>
        <v>0.62573463591896694</v>
      </c>
      <c r="S97" s="24">
        <f t="shared" si="11"/>
        <v>1672.4785641627279</v>
      </c>
    </row>
    <row r="98" spans="1:19" ht="16.05" customHeight="1" x14ac:dyDescent="0.25">
      <c r="A98" s="19" t="s">
        <v>105</v>
      </c>
      <c r="B98" s="35">
        <v>95</v>
      </c>
      <c r="C98" s="20">
        <f t="shared" si="17"/>
        <v>2072203.3733891551</v>
      </c>
      <c r="D98" s="20">
        <f>IF(G97=0,0,IF(G97&lt;BondCalculator!$B$12,G97+E98,BondCalculator!$B$12))</f>
        <v>25804.709809401418</v>
      </c>
      <c r="E98" s="20">
        <f>C98*BondCalculator!$B$5/12</f>
        <v>18995.197589400588</v>
      </c>
      <c r="F98" s="20">
        <f t="shared" si="12"/>
        <v>6809.51222000083</v>
      </c>
      <c r="G98" s="20">
        <f t="shared" si="13"/>
        <v>2065393.8611691543</v>
      </c>
      <c r="H98" s="26">
        <f t="shared" si="14"/>
        <v>0.82615754446766176</v>
      </c>
      <c r="J98" s="22">
        <f t="shared" si="15"/>
        <v>1775949.7473399534</v>
      </c>
      <c r="K98" s="22">
        <f>IF(N97=0,0,IF(N97&lt;BondCalculator!$B$12+BondCalculator!$B$7,N97+L98,BondCalculator!$B$12+BondCalculator!$B$7))</f>
        <v>27804.709809401418</v>
      </c>
      <c r="L98" s="22">
        <f>J98*BondCalculator!$B$5/12</f>
        <v>16279.539350616238</v>
      </c>
      <c r="M98" s="22">
        <f t="shared" si="16"/>
        <v>11525.17045878518</v>
      </c>
      <c r="N98" s="22">
        <f t="shared" si="9"/>
        <v>1764424.5768811682</v>
      </c>
      <c r="P98" s="22">
        <f t="shared" si="10"/>
        <v>2715.65823878435</v>
      </c>
      <c r="Q98" s="23">
        <f>-PV(BondCalculator!$B$9/12,B98,0,1,0)</f>
        <v>0.62262152827757922</v>
      </c>
      <c r="S98" s="24">
        <f t="shared" si="11"/>
        <v>1690.8272829115112</v>
      </c>
    </row>
    <row r="99" spans="1:19" ht="16.05" customHeight="1" x14ac:dyDescent="0.25">
      <c r="A99" s="19" t="s">
        <v>105</v>
      </c>
      <c r="B99" s="35">
        <v>96</v>
      </c>
      <c r="C99" s="20">
        <f t="shared" si="17"/>
        <v>2065393.8611691543</v>
      </c>
      <c r="D99" s="20">
        <f>IF(G98=0,0,IF(G98&lt;BondCalculator!$B$12,G98+E99,BondCalculator!$B$12))</f>
        <v>25804.709809401418</v>
      </c>
      <c r="E99" s="20">
        <f>C99*BondCalculator!$B$5/12</f>
        <v>18932.777060717246</v>
      </c>
      <c r="F99" s="20">
        <f t="shared" si="12"/>
        <v>6871.9327486841721</v>
      </c>
      <c r="G99" s="20">
        <f t="shared" si="13"/>
        <v>2058521.9284204701</v>
      </c>
      <c r="H99" s="26">
        <f t="shared" si="14"/>
        <v>0.82340877136818802</v>
      </c>
      <c r="J99" s="22">
        <f t="shared" si="15"/>
        <v>1764424.5768811682</v>
      </c>
      <c r="K99" s="22">
        <f>IF(N98=0,0,IF(N98&lt;BondCalculator!$B$12+BondCalculator!$B$7,N98+L99,BondCalculator!$B$12+BondCalculator!$B$7))</f>
        <v>27804.709809401418</v>
      </c>
      <c r="L99" s="22">
        <f>J99*BondCalculator!$B$5/12</f>
        <v>16173.89195474404</v>
      </c>
      <c r="M99" s="22">
        <f t="shared" si="16"/>
        <v>11630.817854657378</v>
      </c>
      <c r="N99" s="22">
        <f t="shared" si="9"/>
        <v>1752793.7590265109</v>
      </c>
      <c r="P99" s="22">
        <f t="shared" si="10"/>
        <v>2758.885105973206</v>
      </c>
      <c r="Q99" s="23">
        <f>-PV(BondCalculator!$B$9/12,B99,0,1,0)</f>
        <v>0.61952390873390972</v>
      </c>
      <c r="S99" s="24">
        <f t="shared" si="11"/>
        <v>1709.1952846002873</v>
      </c>
    </row>
    <row r="100" spans="1:19" ht="16.05" customHeight="1" x14ac:dyDescent="0.25">
      <c r="A100" s="19" t="s">
        <v>106</v>
      </c>
      <c r="B100" s="35">
        <v>97</v>
      </c>
      <c r="C100" s="20">
        <f t="shared" si="17"/>
        <v>2058521.9284204701</v>
      </c>
      <c r="D100" s="20">
        <f>IF(G99=0,0,IF(G99&lt;BondCalculator!$B$12,G99+E100,BondCalculator!$B$12))</f>
        <v>25804.709809401418</v>
      </c>
      <c r="E100" s="20">
        <f>C100*BondCalculator!$B$5/12</f>
        <v>18869.78434385431</v>
      </c>
      <c r="F100" s="20">
        <f t="shared" si="12"/>
        <v>6934.9254655471086</v>
      </c>
      <c r="G100" s="20">
        <f t="shared" si="13"/>
        <v>2051587.0029549231</v>
      </c>
      <c r="H100" s="26">
        <f t="shared" si="14"/>
        <v>0.82063480118196919</v>
      </c>
      <c r="J100" s="22">
        <f t="shared" si="15"/>
        <v>1752793.7590265109</v>
      </c>
      <c r="K100" s="22">
        <f>IF(N99=0,0,IF(N99&lt;BondCalculator!$B$12+BondCalculator!$B$7,N99+L100,BondCalculator!$B$12+BondCalculator!$B$7))</f>
        <v>27804.709809401418</v>
      </c>
      <c r="L100" s="22">
        <f>J100*BondCalculator!$B$5/12</f>
        <v>16067.276124409684</v>
      </c>
      <c r="M100" s="22">
        <f t="shared" si="16"/>
        <v>11737.433684991734</v>
      </c>
      <c r="N100" s="22">
        <f t="shared" si="9"/>
        <v>1741056.3253415192</v>
      </c>
      <c r="P100" s="22">
        <f t="shared" si="10"/>
        <v>2802.5082194446259</v>
      </c>
      <c r="Q100" s="23">
        <f>-PV(BondCalculator!$B$9/12,B100,0,1,0)</f>
        <v>0.61644170023274603</v>
      </c>
      <c r="S100" s="24">
        <f t="shared" si="11"/>
        <v>1727.5829317106909</v>
      </c>
    </row>
    <row r="101" spans="1:19" ht="16.05" customHeight="1" x14ac:dyDescent="0.25">
      <c r="A101" s="19" t="s">
        <v>106</v>
      </c>
      <c r="B101" s="35">
        <v>98</v>
      </c>
      <c r="C101" s="20">
        <f t="shared" si="17"/>
        <v>2051587.0029549231</v>
      </c>
      <c r="D101" s="20">
        <f>IF(G100=0,0,IF(G100&lt;BondCalculator!$B$12,G100+E101,BondCalculator!$B$12))</f>
        <v>25804.709809401418</v>
      </c>
      <c r="E101" s="20">
        <f>C101*BondCalculator!$B$5/12</f>
        <v>18806.214193753462</v>
      </c>
      <c r="F101" s="20">
        <f t="shared" si="12"/>
        <v>6998.4956156479566</v>
      </c>
      <c r="G101" s="20">
        <f t="shared" si="13"/>
        <v>2044588.5073392752</v>
      </c>
      <c r="H101" s="26">
        <f t="shared" si="14"/>
        <v>0.81783540293571011</v>
      </c>
      <c r="J101" s="22">
        <f t="shared" si="15"/>
        <v>1741056.3253415192</v>
      </c>
      <c r="K101" s="22">
        <f>IF(N100=0,0,IF(N100&lt;BondCalculator!$B$12+BondCalculator!$B$7,N100+L101,BondCalculator!$B$12+BondCalculator!$B$7))</f>
        <v>27804.709809401418</v>
      </c>
      <c r="L101" s="22">
        <f>J101*BondCalculator!$B$5/12</f>
        <v>15959.68298229726</v>
      </c>
      <c r="M101" s="22">
        <f t="shared" si="16"/>
        <v>11845.026827104159</v>
      </c>
      <c r="N101" s="22">
        <f t="shared" si="9"/>
        <v>1729211.298514415</v>
      </c>
      <c r="P101" s="22">
        <f t="shared" si="10"/>
        <v>2846.5312114562021</v>
      </c>
      <c r="Q101" s="23">
        <f>-PV(BondCalculator!$B$9/12,B101,0,1,0)</f>
        <v>0.61337482610223493</v>
      </c>
      <c r="S101" s="24">
        <f t="shared" si="11"/>
        <v>1745.9905868215321</v>
      </c>
    </row>
    <row r="102" spans="1:19" ht="16.05" customHeight="1" x14ac:dyDescent="0.25">
      <c r="A102" s="19" t="s">
        <v>106</v>
      </c>
      <c r="B102" s="35">
        <v>99</v>
      </c>
      <c r="C102" s="20">
        <f t="shared" si="17"/>
        <v>2044588.5073392752</v>
      </c>
      <c r="D102" s="20">
        <f>IF(G101=0,0,IF(G101&lt;BondCalculator!$B$12,G101+E102,BondCalculator!$B$12))</f>
        <v>25804.709809401418</v>
      </c>
      <c r="E102" s="20">
        <f>C102*BondCalculator!$B$5/12</f>
        <v>18742.06131727669</v>
      </c>
      <c r="F102" s="20">
        <f t="shared" si="12"/>
        <v>7062.6484921247284</v>
      </c>
      <c r="G102" s="20">
        <f t="shared" si="13"/>
        <v>2037525.8588471506</v>
      </c>
      <c r="H102" s="26">
        <f t="shared" si="14"/>
        <v>0.81501034353886026</v>
      </c>
      <c r="J102" s="22">
        <f t="shared" si="15"/>
        <v>1729211.298514415</v>
      </c>
      <c r="K102" s="22">
        <f>IF(N101=0,0,IF(N101&lt;BondCalculator!$B$12+BondCalculator!$B$7,N101+L102,BondCalculator!$B$12+BondCalculator!$B$7))</f>
        <v>27804.709809401418</v>
      </c>
      <c r="L102" s="22">
        <f>J102*BondCalculator!$B$5/12</f>
        <v>15851.103569715471</v>
      </c>
      <c r="M102" s="22">
        <f t="shared" si="16"/>
        <v>11953.606239685947</v>
      </c>
      <c r="N102" s="22">
        <f t="shared" si="9"/>
        <v>1717257.692274729</v>
      </c>
      <c r="P102" s="22">
        <f t="shared" si="10"/>
        <v>2890.9577475612186</v>
      </c>
      <c r="Q102" s="23">
        <f>-PV(BondCalculator!$B$9/12,B102,0,1,0)</f>
        <v>0.6103232100519751</v>
      </c>
      <c r="S102" s="24">
        <f t="shared" si="11"/>
        <v>1764.4186126161903</v>
      </c>
    </row>
    <row r="103" spans="1:19" ht="16.05" customHeight="1" x14ac:dyDescent="0.25">
      <c r="A103" s="19" t="s">
        <v>106</v>
      </c>
      <c r="B103" s="35">
        <v>100</v>
      </c>
      <c r="C103" s="20">
        <f t="shared" si="17"/>
        <v>2037525.8588471506</v>
      </c>
      <c r="D103" s="20">
        <f>IF(G102=0,0,IF(G102&lt;BondCalculator!$B$12,G102+E103,BondCalculator!$B$12))</f>
        <v>25804.709809401418</v>
      </c>
      <c r="E103" s="20">
        <f>C103*BondCalculator!$B$5/12</f>
        <v>18677.320372765545</v>
      </c>
      <c r="F103" s="20">
        <f t="shared" si="12"/>
        <v>7127.3894366358727</v>
      </c>
      <c r="G103" s="20">
        <f t="shared" si="13"/>
        <v>2030398.4694105147</v>
      </c>
      <c r="H103" s="26">
        <f t="shared" si="14"/>
        <v>0.81215938776420593</v>
      </c>
      <c r="J103" s="22">
        <f t="shared" si="15"/>
        <v>1717257.692274729</v>
      </c>
      <c r="K103" s="22">
        <f>IF(N102=0,0,IF(N102&lt;BondCalculator!$B$12+BondCalculator!$B$7,N102+L103,BondCalculator!$B$12+BondCalculator!$B$7))</f>
        <v>27804.709809401418</v>
      </c>
      <c r="L103" s="22">
        <f>J103*BondCalculator!$B$5/12</f>
        <v>15741.528845851682</v>
      </c>
      <c r="M103" s="22">
        <f t="shared" si="16"/>
        <v>12063.180963549736</v>
      </c>
      <c r="N103" s="22">
        <f t="shared" si="9"/>
        <v>1705194.5113111793</v>
      </c>
      <c r="P103" s="22">
        <f t="shared" si="10"/>
        <v>2935.791526913863</v>
      </c>
      <c r="Q103" s="23">
        <f>-PV(BondCalculator!$B$9/12,B103,0,1,0)</f>
        <v>0.6072867761711197</v>
      </c>
      <c r="S103" s="24">
        <f t="shared" si="11"/>
        <v>1782.8673718900088</v>
      </c>
    </row>
    <row r="104" spans="1:19" ht="16.05" customHeight="1" x14ac:dyDescent="0.25">
      <c r="A104" s="19" t="s">
        <v>106</v>
      </c>
      <c r="B104" s="35">
        <v>101</v>
      </c>
      <c r="C104" s="20">
        <f t="shared" si="17"/>
        <v>2030398.4694105147</v>
      </c>
      <c r="D104" s="20">
        <f>IF(G103=0,0,IF(G103&lt;BondCalculator!$B$12,G103+E104,BondCalculator!$B$12))</f>
        <v>25804.709809401418</v>
      </c>
      <c r="E104" s="20">
        <f>C104*BondCalculator!$B$5/12</f>
        <v>18611.985969596386</v>
      </c>
      <c r="F104" s="20">
        <f t="shared" si="12"/>
        <v>7192.7238398050322</v>
      </c>
      <c r="G104" s="20">
        <f t="shared" si="13"/>
        <v>2023205.7455707097</v>
      </c>
      <c r="H104" s="26">
        <f t="shared" si="14"/>
        <v>0.8092822982282839</v>
      </c>
      <c r="J104" s="22">
        <f t="shared" si="15"/>
        <v>1705194.5113111793</v>
      </c>
      <c r="K104" s="22">
        <f>IF(N103=0,0,IF(N103&lt;BondCalculator!$B$12+BondCalculator!$B$7,N103+L104,BondCalculator!$B$12+BondCalculator!$B$7))</f>
        <v>27804.709809401418</v>
      </c>
      <c r="L104" s="22">
        <f>J104*BondCalculator!$B$5/12</f>
        <v>15630.949687019143</v>
      </c>
      <c r="M104" s="22">
        <f t="shared" si="16"/>
        <v>12173.760122382275</v>
      </c>
      <c r="N104" s="22">
        <f t="shared" si="9"/>
        <v>1693020.7511887969</v>
      </c>
      <c r="P104" s="22">
        <f t="shared" si="10"/>
        <v>2981.0362825772427</v>
      </c>
      <c r="Q104" s="23">
        <f>-PV(BondCalculator!$B$9/12,B104,0,1,0)</f>
        <v>0.60426544892648737</v>
      </c>
      <c r="S104" s="24">
        <f t="shared" si="11"/>
        <v>1801.3372275576846</v>
      </c>
    </row>
    <row r="105" spans="1:19" ht="16.05" customHeight="1" x14ac:dyDescent="0.25">
      <c r="A105" s="19" t="s">
        <v>106</v>
      </c>
      <c r="B105" s="35">
        <v>102</v>
      </c>
      <c r="C105" s="20">
        <f t="shared" si="17"/>
        <v>2023205.7455707097</v>
      </c>
      <c r="D105" s="20">
        <f>IF(G104=0,0,IF(G104&lt;BondCalculator!$B$12,G104+E105,BondCalculator!$B$12))</f>
        <v>25804.709809401418</v>
      </c>
      <c r="E105" s="20">
        <f>C105*BondCalculator!$B$5/12</f>
        <v>18546.052667731507</v>
      </c>
      <c r="F105" s="20">
        <f t="shared" si="12"/>
        <v>7258.6571416699117</v>
      </c>
      <c r="G105" s="20">
        <f t="shared" si="13"/>
        <v>2015947.0884290398</v>
      </c>
      <c r="H105" s="26">
        <f t="shared" si="14"/>
        <v>0.80637883537161592</v>
      </c>
      <c r="J105" s="22">
        <f t="shared" si="15"/>
        <v>1693020.7511887969</v>
      </c>
      <c r="K105" s="22">
        <f>IF(N104=0,0,IF(N104&lt;BondCalculator!$B$12+BondCalculator!$B$7,N104+L105,BondCalculator!$B$12+BondCalculator!$B$7))</f>
        <v>27804.709809401418</v>
      </c>
      <c r="L105" s="22">
        <f>J105*BondCalculator!$B$5/12</f>
        <v>15519.356885897307</v>
      </c>
      <c r="M105" s="22">
        <f t="shared" si="16"/>
        <v>12285.352923504111</v>
      </c>
      <c r="N105" s="22">
        <f t="shared" si="9"/>
        <v>1680735.3982652929</v>
      </c>
      <c r="P105" s="22">
        <f t="shared" si="10"/>
        <v>3026.6957818341998</v>
      </c>
      <c r="Q105" s="23">
        <f>-PV(BondCalculator!$B$9/12,B105,0,1,0)</f>
        <v>0.60125915316068401</v>
      </c>
      <c r="S105" s="24">
        <f t="shared" si="11"/>
        <v>1819.8285426606453</v>
      </c>
    </row>
    <row r="106" spans="1:19" ht="16.05" customHeight="1" x14ac:dyDescent="0.25">
      <c r="A106" s="19" t="s">
        <v>106</v>
      </c>
      <c r="B106" s="35">
        <v>103</v>
      </c>
      <c r="C106" s="20">
        <f t="shared" si="17"/>
        <v>2015947.0884290398</v>
      </c>
      <c r="D106" s="20">
        <f>IF(G105=0,0,IF(G105&lt;BondCalculator!$B$12,G105+E106,BondCalculator!$B$12))</f>
        <v>25804.709809401418</v>
      </c>
      <c r="E106" s="20">
        <f>C106*BondCalculator!$B$5/12</f>
        <v>18479.514977266201</v>
      </c>
      <c r="F106" s="20">
        <f t="shared" si="12"/>
        <v>7325.1948321352174</v>
      </c>
      <c r="G106" s="20">
        <f t="shared" si="13"/>
        <v>2008621.8935969046</v>
      </c>
      <c r="H106" s="26">
        <f t="shared" si="14"/>
        <v>0.80344875743876187</v>
      </c>
      <c r="J106" s="22">
        <f t="shared" si="15"/>
        <v>1680735.3982652929</v>
      </c>
      <c r="K106" s="22">
        <f>IF(N105=0,0,IF(N105&lt;BondCalculator!$B$12+BondCalculator!$B$7,N105+L106,BondCalculator!$B$12+BondCalculator!$B$7))</f>
        <v>27804.709809401418</v>
      </c>
      <c r="L106" s="22">
        <f>J106*BondCalculator!$B$5/12</f>
        <v>15406.741150765185</v>
      </c>
      <c r="M106" s="22">
        <f t="shared" si="16"/>
        <v>12397.968658636233</v>
      </c>
      <c r="N106" s="22">
        <f t="shared" si="9"/>
        <v>1668337.4296066565</v>
      </c>
      <c r="P106" s="22">
        <f t="shared" si="10"/>
        <v>3072.7738265010157</v>
      </c>
      <c r="Q106" s="23">
        <f>-PV(BondCalculator!$B$9/12,B106,0,1,0)</f>
        <v>0.59826781409023289</v>
      </c>
      <c r="S106" s="24">
        <f t="shared" si="11"/>
        <v>1838.3416803744433</v>
      </c>
    </row>
    <row r="107" spans="1:19" ht="16.05" customHeight="1" x14ac:dyDescent="0.25">
      <c r="A107" s="19" t="s">
        <v>106</v>
      </c>
      <c r="B107" s="35">
        <v>104</v>
      </c>
      <c r="C107" s="20">
        <f t="shared" si="17"/>
        <v>2008621.8935969046</v>
      </c>
      <c r="D107" s="20">
        <f>IF(G106=0,0,IF(G106&lt;BondCalculator!$B$12,G106+E107,BondCalculator!$B$12))</f>
        <v>25804.709809401418</v>
      </c>
      <c r="E107" s="20">
        <f>C107*BondCalculator!$B$5/12</f>
        <v>18412.367357971623</v>
      </c>
      <c r="F107" s="20">
        <f t="shared" si="12"/>
        <v>7392.3424514297949</v>
      </c>
      <c r="G107" s="20">
        <f t="shared" si="13"/>
        <v>2001229.5511454749</v>
      </c>
      <c r="H107" s="26">
        <f t="shared" si="14"/>
        <v>0.80049182045819001</v>
      </c>
      <c r="J107" s="22">
        <f t="shared" si="15"/>
        <v>1668337.4296066565</v>
      </c>
      <c r="K107" s="22">
        <f>IF(N106=0,0,IF(N106&lt;BondCalculator!$B$12+BondCalculator!$B$7,N106+L107,BondCalculator!$B$12+BondCalculator!$B$7))</f>
        <v>27804.709809401418</v>
      </c>
      <c r="L107" s="22">
        <f>J107*BondCalculator!$B$5/12</f>
        <v>15293.093104727684</v>
      </c>
      <c r="M107" s="22">
        <f t="shared" si="16"/>
        <v>12511.616704673734</v>
      </c>
      <c r="N107" s="22">
        <f t="shared" si="9"/>
        <v>1655825.8129019828</v>
      </c>
      <c r="P107" s="22">
        <f t="shared" si="10"/>
        <v>3119.2742532439388</v>
      </c>
      <c r="Q107" s="23">
        <f>-PV(BondCalculator!$B$9/12,B107,0,1,0)</f>
        <v>0.59529135730371441</v>
      </c>
      <c r="S107" s="24">
        <f t="shared" si="11"/>
        <v>1856.8770040161146</v>
      </c>
    </row>
    <row r="108" spans="1:19" ht="16.05" customHeight="1" x14ac:dyDescent="0.25">
      <c r="A108" s="19" t="s">
        <v>106</v>
      </c>
      <c r="B108" s="35">
        <v>105</v>
      </c>
      <c r="C108" s="20">
        <f t="shared" si="17"/>
        <v>2001229.5511454749</v>
      </c>
      <c r="D108" s="20">
        <f>IF(G107=0,0,IF(G107&lt;BondCalculator!$B$12,G107+E108,BondCalculator!$B$12))</f>
        <v>25804.709809401418</v>
      </c>
      <c r="E108" s="20">
        <f>C108*BondCalculator!$B$5/12</f>
        <v>18344.60421883352</v>
      </c>
      <c r="F108" s="20">
        <f t="shared" si="12"/>
        <v>7460.1055905678986</v>
      </c>
      <c r="G108" s="20">
        <f t="shared" si="13"/>
        <v>1993769.445554907</v>
      </c>
      <c r="H108" s="26">
        <f t="shared" si="14"/>
        <v>0.79750777822196284</v>
      </c>
      <c r="J108" s="22">
        <f t="shared" si="15"/>
        <v>1655825.8129019828</v>
      </c>
      <c r="K108" s="22">
        <f>IF(N107=0,0,IF(N107&lt;BondCalculator!$B$12+BondCalculator!$B$7,N107+L108,BondCalculator!$B$12+BondCalculator!$B$7))</f>
        <v>27804.709809401418</v>
      </c>
      <c r="L108" s="22">
        <f>J108*BondCalculator!$B$5/12</f>
        <v>15178.403284934842</v>
      </c>
      <c r="M108" s="22">
        <f t="shared" si="16"/>
        <v>12626.306524466576</v>
      </c>
      <c r="N108" s="22">
        <f t="shared" si="9"/>
        <v>1643199.5063775163</v>
      </c>
      <c r="P108" s="22">
        <f t="shared" si="10"/>
        <v>3166.2009338986772</v>
      </c>
      <c r="Q108" s="23">
        <f>-PV(BondCalculator!$B$9/12,B108,0,1,0)</f>
        <v>0.59232970875991497</v>
      </c>
      <c r="S108" s="24">
        <f t="shared" si="11"/>
        <v>1875.4348770515744</v>
      </c>
    </row>
    <row r="109" spans="1:19" ht="16.05" customHeight="1" x14ac:dyDescent="0.25">
      <c r="A109" s="19" t="s">
        <v>106</v>
      </c>
      <c r="B109" s="35">
        <v>106</v>
      </c>
      <c r="C109" s="20">
        <f t="shared" si="17"/>
        <v>1993769.445554907</v>
      </c>
      <c r="D109" s="20">
        <f>IF(G108=0,0,IF(G108&lt;BondCalculator!$B$12,G108+E109,BondCalculator!$B$12))</f>
        <v>25804.709809401418</v>
      </c>
      <c r="E109" s="20">
        <f>C109*BondCalculator!$B$5/12</f>
        <v>18276.219917586648</v>
      </c>
      <c r="F109" s="20">
        <f t="shared" si="12"/>
        <v>7528.4898918147701</v>
      </c>
      <c r="G109" s="20">
        <f t="shared" si="13"/>
        <v>1986240.9556630922</v>
      </c>
      <c r="H109" s="26">
        <f t="shared" si="14"/>
        <v>0.79449638226523689</v>
      </c>
      <c r="J109" s="22">
        <f t="shared" si="15"/>
        <v>1643199.5063775163</v>
      </c>
      <c r="K109" s="22">
        <f>IF(N108=0,0,IF(N108&lt;BondCalculator!$B$12+BondCalculator!$B$7,N108+L109,BondCalculator!$B$12+BondCalculator!$B$7))</f>
        <v>27804.709809401418</v>
      </c>
      <c r="L109" s="22">
        <f>J109*BondCalculator!$B$5/12</f>
        <v>15062.6621417939</v>
      </c>
      <c r="M109" s="22">
        <f t="shared" si="16"/>
        <v>12742.047667607518</v>
      </c>
      <c r="N109" s="22">
        <f t="shared" si="9"/>
        <v>1630457.4587099089</v>
      </c>
      <c r="P109" s="22">
        <f t="shared" si="10"/>
        <v>3213.5577757927476</v>
      </c>
      <c r="Q109" s="23">
        <f>-PV(BondCalculator!$B$9/12,B109,0,1,0)</f>
        <v>0.5893827947859851</v>
      </c>
      <c r="S109" s="24">
        <f t="shared" si="11"/>
        <v>1894.0156631029638</v>
      </c>
    </row>
    <row r="110" spans="1:19" ht="16.05" customHeight="1" x14ac:dyDescent="0.25">
      <c r="A110" s="19" t="s">
        <v>106</v>
      </c>
      <c r="B110" s="35">
        <v>107</v>
      </c>
      <c r="C110" s="20">
        <f t="shared" si="17"/>
        <v>1986240.9556630922</v>
      </c>
      <c r="D110" s="20">
        <f>IF(G109=0,0,IF(G109&lt;BondCalculator!$B$12,G109+E110,BondCalculator!$B$12))</f>
        <v>25804.709809401418</v>
      </c>
      <c r="E110" s="20">
        <f>C110*BondCalculator!$B$5/12</f>
        <v>18207.208760245012</v>
      </c>
      <c r="F110" s="20">
        <f t="shared" si="12"/>
        <v>7597.5010491564062</v>
      </c>
      <c r="G110" s="20">
        <f t="shared" si="13"/>
        <v>1978643.4546139359</v>
      </c>
      <c r="H110" s="26">
        <f t="shared" si="14"/>
        <v>0.79145738184557435</v>
      </c>
      <c r="J110" s="22">
        <f t="shared" si="15"/>
        <v>1630457.4587099089</v>
      </c>
      <c r="K110" s="22">
        <f>IF(N109=0,0,IF(N109&lt;BondCalculator!$B$12+BondCalculator!$B$7,N109+L110,BondCalculator!$B$12+BondCalculator!$B$7))</f>
        <v>27804.709809401418</v>
      </c>
      <c r="L110" s="22">
        <f>J110*BondCalculator!$B$5/12</f>
        <v>14945.860038174165</v>
      </c>
      <c r="M110" s="22">
        <f t="shared" si="16"/>
        <v>12858.849771227253</v>
      </c>
      <c r="N110" s="22">
        <f t="shared" si="9"/>
        <v>1617598.6089386817</v>
      </c>
      <c r="P110" s="22">
        <f t="shared" si="10"/>
        <v>3261.3487220708466</v>
      </c>
      <c r="Q110" s="23">
        <f>-PV(BondCalculator!$B$9/12,B110,0,1,0)</f>
        <v>0.5864505420756071</v>
      </c>
      <c r="S110" s="24">
        <f t="shared" si="11"/>
        <v>1912.6197259560365</v>
      </c>
    </row>
    <row r="111" spans="1:19" ht="16.05" customHeight="1" x14ac:dyDescent="0.25">
      <c r="A111" s="19" t="s">
        <v>106</v>
      </c>
      <c r="B111" s="35">
        <v>108</v>
      </c>
      <c r="C111" s="20">
        <f t="shared" si="17"/>
        <v>1978643.4546139359</v>
      </c>
      <c r="D111" s="20">
        <f>IF(G110=0,0,IF(G110&lt;BondCalculator!$B$12,G110+E111,BondCalculator!$B$12))</f>
        <v>25804.709809401418</v>
      </c>
      <c r="E111" s="20">
        <f>C111*BondCalculator!$B$5/12</f>
        <v>18137.565000627746</v>
      </c>
      <c r="F111" s="20">
        <f t="shared" si="12"/>
        <v>7667.1448087736717</v>
      </c>
      <c r="G111" s="20">
        <f t="shared" si="13"/>
        <v>1970976.3098051623</v>
      </c>
      <c r="H111" s="26">
        <f t="shared" si="14"/>
        <v>0.78839052392206488</v>
      </c>
      <c r="J111" s="22">
        <f t="shared" si="15"/>
        <v>1617598.6089386817</v>
      </c>
      <c r="K111" s="22">
        <f>IF(N110=0,0,IF(N110&lt;BondCalculator!$B$12+BondCalculator!$B$7,N110+L111,BondCalculator!$B$12+BondCalculator!$B$7))</f>
        <v>27804.709809401418</v>
      </c>
      <c r="L111" s="22">
        <f>J111*BondCalculator!$B$5/12</f>
        <v>14827.987248604581</v>
      </c>
      <c r="M111" s="22">
        <f t="shared" si="16"/>
        <v>12976.722560796838</v>
      </c>
      <c r="N111" s="22">
        <f t="shared" si="9"/>
        <v>1604621.8863778848</v>
      </c>
      <c r="P111" s="22">
        <f t="shared" si="10"/>
        <v>3309.5777520231659</v>
      </c>
      <c r="Q111" s="23">
        <f>-PV(BondCalculator!$B$9/12,B111,0,1,0)</f>
        <v>0.58353287768717144</v>
      </c>
      <c r="S111" s="24">
        <f t="shared" si="11"/>
        <v>1931.2474295675179</v>
      </c>
    </row>
    <row r="112" spans="1:19" ht="16.05" customHeight="1" x14ac:dyDescent="0.25">
      <c r="A112" s="19" t="s">
        <v>107</v>
      </c>
      <c r="B112" s="35">
        <v>109</v>
      </c>
      <c r="C112" s="20">
        <f t="shared" si="17"/>
        <v>1970976.3098051623</v>
      </c>
      <c r="D112" s="20">
        <f>IF(G111=0,0,IF(G111&lt;BondCalculator!$B$12,G111+E112,BondCalculator!$B$12))</f>
        <v>25804.709809401418</v>
      </c>
      <c r="E112" s="20">
        <f>C112*BondCalculator!$B$5/12</f>
        <v>18067.282839880656</v>
      </c>
      <c r="F112" s="20">
        <f t="shared" si="12"/>
        <v>7737.4269695207622</v>
      </c>
      <c r="G112" s="20">
        <f t="shared" si="13"/>
        <v>1963238.8828356415</v>
      </c>
      <c r="H112" s="26">
        <f t="shared" si="14"/>
        <v>0.78529555313425659</v>
      </c>
      <c r="J112" s="22">
        <f t="shared" si="15"/>
        <v>1604621.8863778848</v>
      </c>
      <c r="K112" s="22">
        <f>IF(N111=0,0,IF(N111&lt;BondCalculator!$B$12+BondCalculator!$B$7,N111+L112,BondCalculator!$B$12+BondCalculator!$B$7))</f>
        <v>27804.709809401418</v>
      </c>
      <c r="L112" s="22">
        <f>J112*BondCalculator!$B$5/12</f>
        <v>14709.033958463944</v>
      </c>
      <c r="M112" s="22">
        <f t="shared" si="16"/>
        <v>13095.675850937474</v>
      </c>
      <c r="N112" s="22">
        <f t="shared" si="9"/>
        <v>1591526.2105269474</v>
      </c>
      <c r="P112" s="22">
        <f t="shared" si="10"/>
        <v>3358.2488814167118</v>
      </c>
      <c r="Q112" s="23">
        <f>-PV(BondCalculator!$B$9/12,B112,0,1,0)</f>
        <v>0.58062972904196175</v>
      </c>
      <c r="S112" s="24">
        <f t="shared" si="11"/>
        <v>1949.8991380724565</v>
      </c>
    </row>
    <row r="113" spans="1:19" ht="16.05" customHeight="1" x14ac:dyDescent="0.25">
      <c r="A113" s="19" t="s">
        <v>107</v>
      </c>
      <c r="B113" s="35">
        <v>110</v>
      </c>
      <c r="C113" s="20">
        <f t="shared" si="17"/>
        <v>1963238.8828356415</v>
      </c>
      <c r="D113" s="20">
        <f>IF(G112=0,0,IF(G112&lt;BondCalculator!$B$12,G112+E113,BondCalculator!$B$12))</f>
        <v>25804.709809401418</v>
      </c>
      <c r="E113" s="20">
        <f>C113*BondCalculator!$B$5/12</f>
        <v>17996.356425993381</v>
      </c>
      <c r="F113" s="20">
        <f t="shared" si="12"/>
        <v>7808.3533834080372</v>
      </c>
      <c r="G113" s="20">
        <f t="shared" si="13"/>
        <v>1955430.5294522336</v>
      </c>
      <c r="H113" s="26">
        <f t="shared" si="14"/>
        <v>0.78217221178089347</v>
      </c>
      <c r="J113" s="22">
        <f t="shared" si="15"/>
        <v>1591526.2105269474</v>
      </c>
      <c r="K113" s="22">
        <f>IF(N112=0,0,IF(N112&lt;BondCalculator!$B$12+BondCalculator!$B$7,N112+L113,BondCalculator!$B$12+BondCalculator!$B$7))</f>
        <v>27804.709809401418</v>
      </c>
      <c r="L113" s="22">
        <f>J113*BondCalculator!$B$5/12</f>
        <v>14588.990263163685</v>
      </c>
      <c r="M113" s="22">
        <f t="shared" si="16"/>
        <v>13215.719546237733</v>
      </c>
      <c r="N113" s="22">
        <f t="shared" si="9"/>
        <v>1578310.4909807097</v>
      </c>
      <c r="P113" s="22">
        <f t="shared" si="10"/>
        <v>3407.3661628296959</v>
      </c>
      <c r="Q113" s="23">
        <f>-PV(BondCalculator!$B$9/12,B113,0,1,0)</f>
        <v>0.57774102392235005</v>
      </c>
      <c r="S113" s="24">
        <f t="shared" si="11"/>
        <v>1968.5752157915974</v>
      </c>
    </row>
    <row r="114" spans="1:19" ht="16.05" customHeight="1" x14ac:dyDescent="0.25">
      <c r="A114" s="19" t="s">
        <v>107</v>
      </c>
      <c r="B114" s="35">
        <v>111</v>
      </c>
      <c r="C114" s="20">
        <f t="shared" si="17"/>
        <v>1955430.5294522336</v>
      </c>
      <c r="D114" s="20">
        <f>IF(G113=0,0,IF(G113&lt;BondCalculator!$B$12,G113+E114,BondCalculator!$B$12))</f>
        <v>25804.709809401418</v>
      </c>
      <c r="E114" s="20">
        <f>C114*BondCalculator!$B$5/12</f>
        <v>17924.779853312142</v>
      </c>
      <c r="F114" s="20">
        <f t="shared" si="12"/>
        <v>7879.9299560892759</v>
      </c>
      <c r="G114" s="20">
        <f t="shared" si="13"/>
        <v>1947550.5994961443</v>
      </c>
      <c r="H114" s="26">
        <f t="shared" si="14"/>
        <v>0.77902023979845769</v>
      </c>
      <c r="J114" s="22">
        <f t="shared" si="15"/>
        <v>1578310.4909807097</v>
      </c>
      <c r="K114" s="22">
        <f>IF(N113=0,0,IF(N113&lt;BondCalculator!$B$12+BondCalculator!$B$7,N113+L114,BondCalculator!$B$12+BondCalculator!$B$7))</f>
        <v>27804.709809401418</v>
      </c>
      <c r="L114" s="22">
        <f>J114*BondCalculator!$B$5/12</f>
        <v>14467.846167323172</v>
      </c>
      <c r="M114" s="22">
        <f t="shared" si="16"/>
        <v>13336.863642078246</v>
      </c>
      <c r="N114" s="22">
        <f t="shared" si="9"/>
        <v>1564973.6273386313</v>
      </c>
      <c r="P114" s="22">
        <f t="shared" si="10"/>
        <v>3456.93368598897</v>
      </c>
      <c r="Q114" s="23">
        <f>-PV(BondCalculator!$B$9/12,B114,0,1,0)</f>
        <v>0.57486669047000016</v>
      </c>
      <c r="S114" s="24">
        <f t="shared" si="11"/>
        <v>1987.2760272387379</v>
      </c>
    </row>
    <row r="115" spans="1:19" ht="16.05" customHeight="1" x14ac:dyDescent="0.25">
      <c r="A115" s="19" t="s">
        <v>107</v>
      </c>
      <c r="B115" s="35">
        <v>112</v>
      </c>
      <c r="C115" s="20">
        <f t="shared" si="17"/>
        <v>1947550.5994961443</v>
      </c>
      <c r="D115" s="20">
        <f>IF(G114=0,0,IF(G114&lt;BondCalculator!$B$12,G114+E115,BondCalculator!$B$12))</f>
        <v>25804.709809401418</v>
      </c>
      <c r="E115" s="20">
        <f>C115*BondCalculator!$B$5/12</f>
        <v>17852.547162047991</v>
      </c>
      <c r="F115" s="20">
        <f t="shared" si="12"/>
        <v>7952.162647353427</v>
      </c>
      <c r="G115" s="20">
        <f t="shared" si="13"/>
        <v>1939598.4368487909</v>
      </c>
      <c r="H115" s="26">
        <f t="shared" si="14"/>
        <v>0.77583937473951636</v>
      </c>
      <c r="J115" s="22">
        <f t="shared" si="15"/>
        <v>1564973.6273386313</v>
      </c>
      <c r="K115" s="22">
        <f>IF(N114=0,0,IF(N114&lt;BondCalculator!$B$12+BondCalculator!$B$7,N114+L115,BondCalculator!$B$12+BondCalculator!$B$7))</f>
        <v>27804.709809401418</v>
      </c>
      <c r="L115" s="22">
        <f>J115*BondCalculator!$B$5/12</f>
        <v>14345.591583937452</v>
      </c>
      <c r="M115" s="22">
        <f t="shared" si="16"/>
        <v>13459.118225463966</v>
      </c>
      <c r="N115" s="22">
        <f t="shared" si="9"/>
        <v>1551514.5091131674</v>
      </c>
      <c r="P115" s="22">
        <f t="shared" si="10"/>
        <v>3506.9555781105391</v>
      </c>
      <c r="Q115" s="23">
        <f>-PV(BondCalculator!$B$9/12,B115,0,1,0)</f>
        <v>0.57200665718407984</v>
      </c>
      <c r="S115" s="24">
        <f t="shared" si="11"/>
        <v>2006.0019371280716</v>
      </c>
    </row>
    <row r="116" spans="1:19" ht="16.05" customHeight="1" x14ac:dyDescent="0.25">
      <c r="A116" s="19" t="s">
        <v>107</v>
      </c>
      <c r="B116" s="35">
        <v>113</v>
      </c>
      <c r="C116" s="20">
        <f t="shared" si="17"/>
        <v>1939598.4368487909</v>
      </c>
      <c r="D116" s="20">
        <f>IF(G115=0,0,IF(G115&lt;BondCalculator!$B$12,G115+E116,BondCalculator!$B$12))</f>
        <v>25804.709809401418</v>
      </c>
      <c r="E116" s="20">
        <f>C116*BondCalculator!$B$5/12</f>
        <v>17779.652337780582</v>
      </c>
      <c r="F116" s="20">
        <f t="shared" si="12"/>
        <v>8025.0574716208357</v>
      </c>
      <c r="G116" s="20">
        <f t="shared" si="13"/>
        <v>1931573.37937717</v>
      </c>
      <c r="H116" s="26">
        <f t="shared" si="14"/>
        <v>0.772629351750868</v>
      </c>
      <c r="J116" s="22">
        <f t="shared" si="15"/>
        <v>1551514.5091131674</v>
      </c>
      <c r="K116" s="22">
        <f>IF(N115=0,0,IF(N115&lt;BondCalculator!$B$12+BondCalculator!$B$7,N115+L116,BondCalculator!$B$12+BondCalculator!$B$7))</f>
        <v>27804.709809401418</v>
      </c>
      <c r="L116" s="22">
        <f>J116*BondCalculator!$B$5/12</f>
        <v>14222.216333537368</v>
      </c>
      <c r="M116" s="22">
        <f t="shared" si="16"/>
        <v>13582.49347586405</v>
      </c>
      <c r="N116" s="22">
        <f t="shared" si="9"/>
        <v>1537932.0156373035</v>
      </c>
      <c r="P116" s="22">
        <f t="shared" si="10"/>
        <v>3557.4360042432145</v>
      </c>
      <c r="Q116" s="23">
        <f>-PV(BondCalculator!$B$9/12,B116,0,1,0)</f>
        <v>0.56916085291948237</v>
      </c>
      <c r="S116" s="24">
        <f t="shared" si="11"/>
        <v>2024.7533103815433</v>
      </c>
    </row>
    <row r="117" spans="1:19" ht="16.05" customHeight="1" x14ac:dyDescent="0.25">
      <c r="A117" s="19" t="s">
        <v>107</v>
      </c>
      <c r="B117" s="35">
        <v>114</v>
      </c>
      <c r="C117" s="20">
        <f t="shared" si="17"/>
        <v>1931573.37937717</v>
      </c>
      <c r="D117" s="20">
        <f>IF(G116=0,0,IF(G116&lt;BondCalculator!$B$12,G116+E117,BondCalculator!$B$12))</f>
        <v>25804.709809401418</v>
      </c>
      <c r="E117" s="20">
        <f>C117*BondCalculator!$B$5/12</f>
        <v>17706.089310957392</v>
      </c>
      <c r="F117" s="20">
        <f t="shared" si="12"/>
        <v>8098.6204984440265</v>
      </c>
      <c r="G117" s="20">
        <f t="shared" si="13"/>
        <v>1923474.758878726</v>
      </c>
      <c r="H117" s="26">
        <f t="shared" si="14"/>
        <v>0.7693899035514904</v>
      </c>
      <c r="J117" s="22">
        <f t="shared" si="15"/>
        <v>1537932.0156373035</v>
      </c>
      <c r="K117" s="22">
        <f>IF(N116=0,0,IF(N116&lt;BondCalculator!$B$12+BondCalculator!$B$7,N116+L117,BondCalculator!$B$12+BondCalculator!$B$7))</f>
        <v>27804.709809401418</v>
      </c>
      <c r="L117" s="22">
        <f>J117*BondCalculator!$B$5/12</f>
        <v>14097.71014334195</v>
      </c>
      <c r="M117" s="22">
        <f t="shared" si="16"/>
        <v>13706.999666059468</v>
      </c>
      <c r="N117" s="22">
        <f t="shared" si="9"/>
        <v>1524225.0159712441</v>
      </c>
      <c r="P117" s="22">
        <f t="shared" si="10"/>
        <v>3608.3791676154415</v>
      </c>
      <c r="Q117" s="23">
        <f>-PV(BondCalculator!$B$9/12,B117,0,1,0)</f>
        <v>0.56632920688505739</v>
      </c>
      <c r="S117" s="24">
        <f t="shared" si="11"/>
        <v>2043.5305121362164</v>
      </c>
    </row>
    <row r="118" spans="1:19" ht="16.05" customHeight="1" x14ac:dyDescent="0.25">
      <c r="A118" s="19" t="s">
        <v>107</v>
      </c>
      <c r="B118" s="35">
        <v>115</v>
      </c>
      <c r="C118" s="20">
        <f t="shared" si="17"/>
        <v>1923474.758878726</v>
      </c>
      <c r="D118" s="20">
        <f>IF(G117=0,0,IF(G117&lt;BondCalculator!$B$12,G117+E118,BondCalculator!$B$12))</f>
        <v>25804.709809401418</v>
      </c>
      <c r="E118" s="20">
        <f>C118*BondCalculator!$B$5/12</f>
        <v>17631.85195638832</v>
      </c>
      <c r="F118" s="20">
        <f t="shared" si="12"/>
        <v>8172.8578530130981</v>
      </c>
      <c r="G118" s="20">
        <f t="shared" si="13"/>
        <v>1915301.901025713</v>
      </c>
      <c r="H118" s="26">
        <f t="shared" si="14"/>
        <v>0.76612076041028521</v>
      </c>
      <c r="J118" s="22">
        <f t="shared" si="15"/>
        <v>1524225.0159712441</v>
      </c>
      <c r="K118" s="22">
        <f>IF(N117=0,0,IF(N117&lt;BondCalculator!$B$12+BondCalculator!$B$7,N117+L118,BondCalculator!$B$12+BondCalculator!$B$7))</f>
        <v>27804.709809401418</v>
      </c>
      <c r="L118" s="22">
        <f>J118*BondCalculator!$B$5/12</f>
        <v>13972.062646403072</v>
      </c>
      <c r="M118" s="22">
        <f t="shared" si="16"/>
        <v>13832.647162998346</v>
      </c>
      <c r="N118" s="22">
        <f t="shared" si="9"/>
        <v>1510392.3688082458</v>
      </c>
      <c r="P118" s="22">
        <f t="shared" si="10"/>
        <v>3659.7893099852481</v>
      </c>
      <c r="Q118" s="23">
        <f>-PV(BondCalculator!$B$9/12,B118,0,1,0)</f>
        <v>0.56351164864184811</v>
      </c>
      <c r="S118" s="24">
        <f t="shared" si="11"/>
        <v>2062.3339077515989</v>
      </c>
    </row>
    <row r="119" spans="1:19" ht="16.05" customHeight="1" x14ac:dyDescent="0.25">
      <c r="A119" s="19" t="s">
        <v>107</v>
      </c>
      <c r="B119" s="35">
        <v>116</v>
      </c>
      <c r="C119" s="20">
        <f t="shared" si="17"/>
        <v>1915301.901025713</v>
      </c>
      <c r="D119" s="20">
        <f>IF(G118=0,0,IF(G118&lt;BondCalculator!$B$12,G118+E119,BondCalculator!$B$12))</f>
        <v>25804.709809401418</v>
      </c>
      <c r="E119" s="20">
        <f>C119*BondCalculator!$B$5/12</f>
        <v>17556.934092735701</v>
      </c>
      <c r="F119" s="20">
        <f t="shared" si="12"/>
        <v>8247.7757166657175</v>
      </c>
      <c r="G119" s="20">
        <f t="shared" si="13"/>
        <v>1907054.1253090473</v>
      </c>
      <c r="H119" s="26">
        <f t="shared" si="14"/>
        <v>0.76282165012361891</v>
      </c>
      <c r="J119" s="22">
        <f t="shared" si="15"/>
        <v>1510392.3688082458</v>
      </c>
      <c r="K119" s="22">
        <f>IF(N118=0,0,IF(N118&lt;BondCalculator!$B$12+BondCalculator!$B$7,N118+L119,BondCalculator!$B$12+BondCalculator!$B$7))</f>
        <v>27804.709809401418</v>
      </c>
      <c r="L119" s="22">
        <f>J119*BondCalculator!$B$5/12</f>
        <v>13845.263380742254</v>
      </c>
      <c r="M119" s="22">
        <f t="shared" si="16"/>
        <v>13959.446428659165</v>
      </c>
      <c r="N119" s="22">
        <f t="shared" si="9"/>
        <v>1496432.9223795866</v>
      </c>
      <c r="P119" s="22">
        <f t="shared" si="10"/>
        <v>3711.6707119934472</v>
      </c>
      <c r="Q119" s="23">
        <f>-PV(BondCalculator!$B$9/12,B119,0,1,0)</f>
        <v>0.56070810810134153</v>
      </c>
      <c r="S119" s="24">
        <f t="shared" si="11"/>
        <v>2081.1638628170049</v>
      </c>
    </row>
    <row r="120" spans="1:19" ht="16.05" customHeight="1" x14ac:dyDescent="0.25">
      <c r="A120" s="19" t="s">
        <v>107</v>
      </c>
      <c r="B120" s="35">
        <v>117</v>
      </c>
      <c r="C120" s="20">
        <f t="shared" si="17"/>
        <v>1907054.1253090473</v>
      </c>
      <c r="D120" s="20">
        <f>IF(G119=0,0,IF(G119&lt;BondCalculator!$B$12,G119+E120,BondCalculator!$B$12))</f>
        <v>25804.709809401418</v>
      </c>
      <c r="E120" s="20">
        <f>C120*BondCalculator!$B$5/12</f>
        <v>17481.329481999601</v>
      </c>
      <c r="F120" s="20">
        <f t="shared" si="12"/>
        <v>8323.3803274018173</v>
      </c>
      <c r="G120" s="20">
        <f t="shared" si="13"/>
        <v>1898730.7449816454</v>
      </c>
      <c r="H120" s="26">
        <f t="shared" si="14"/>
        <v>0.75949229799265816</v>
      </c>
      <c r="J120" s="22">
        <f t="shared" si="15"/>
        <v>1496432.9223795866</v>
      </c>
      <c r="K120" s="22">
        <f>IF(N119=0,0,IF(N119&lt;BondCalculator!$B$12+BondCalculator!$B$7,N119+L120,BondCalculator!$B$12+BondCalculator!$B$7))</f>
        <v>27804.709809401418</v>
      </c>
      <c r="L120" s="22">
        <f>J120*BondCalculator!$B$5/12</f>
        <v>13717.301788479543</v>
      </c>
      <c r="M120" s="22">
        <f t="shared" si="16"/>
        <v>14087.408020921876</v>
      </c>
      <c r="N120" s="22">
        <f t="shared" si="9"/>
        <v>1482345.5143586646</v>
      </c>
      <c r="P120" s="22">
        <f t="shared" si="10"/>
        <v>3764.0276935200582</v>
      </c>
      <c r="Q120" s="23">
        <f>-PV(BondCalculator!$B$9/12,B120,0,1,0)</f>
        <v>0.55791851552372296</v>
      </c>
      <c r="S120" s="24">
        <f t="shared" si="11"/>
        <v>2100.0207431588938</v>
      </c>
    </row>
    <row r="121" spans="1:19" ht="16.05" customHeight="1" x14ac:dyDescent="0.25">
      <c r="A121" s="19" t="s">
        <v>107</v>
      </c>
      <c r="B121" s="35">
        <v>118</v>
      </c>
      <c r="C121" s="20">
        <f t="shared" si="17"/>
        <v>1898730.7449816454</v>
      </c>
      <c r="D121" s="20">
        <f>IF(G120=0,0,IF(G120&lt;BondCalculator!$B$12,G120+E121,BondCalculator!$B$12))</f>
        <v>25804.709809401418</v>
      </c>
      <c r="E121" s="20">
        <f>C121*BondCalculator!$B$5/12</f>
        <v>17405.031828998417</v>
      </c>
      <c r="F121" s="20">
        <f t="shared" si="12"/>
        <v>8399.6779804030011</v>
      </c>
      <c r="G121" s="20">
        <f t="shared" si="13"/>
        <v>1890331.0670012424</v>
      </c>
      <c r="H121" s="26">
        <f t="shared" si="14"/>
        <v>0.75613242680049697</v>
      </c>
      <c r="J121" s="22">
        <f t="shared" si="15"/>
        <v>1482345.5143586646</v>
      </c>
      <c r="K121" s="22">
        <f>IF(N120=0,0,IF(N120&lt;BondCalculator!$B$12+BondCalculator!$B$7,N120+L121,BondCalculator!$B$12+BondCalculator!$B$7))</f>
        <v>27804.709809401418</v>
      </c>
      <c r="L121" s="22">
        <f>J121*BondCalculator!$B$5/12</f>
        <v>13588.167214954425</v>
      </c>
      <c r="M121" s="22">
        <f t="shared" si="16"/>
        <v>14216.542594446993</v>
      </c>
      <c r="N121" s="22">
        <f t="shared" si="9"/>
        <v>1468128.9717642176</v>
      </c>
      <c r="P121" s="22">
        <f t="shared" si="10"/>
        <v>3816.8646140439923</v>
      </c>
      <c r="Q121" s="23">
        <f>-PV(BondCalculator!$B$9/12,B121,0,1,0)</f>
        <v>0.55514280151614248</v>
      </c>
      <c r="S121" s="24">
        <f t="shared" si="11"/>
        <v>2118.9049148482118</v>
      </c>
    </row>
    <row r="122" spans="1:19" ht="16.05" customHeight="1" x14ac:dyDescent="0.25">
      <c r="A122" s="19" t="s">
        <v>107</v>
      </c>
      <c r="B122" s="35">
        <v>119</v>
      </c>
      <c r="C122" s="20">
        <f t="shared" si="17"/>
        <v>1890331.0670012424</v>
      </c>
      <c r="D122" s="20">
        <f>IF(G121=0,0,IF(G121&lt;BondCalculator!$B$12,G121+E122,BondCalculator!$B$12))</f>
        <v>25804.709809401418</v>
      </c>
      <c r="E122" s="20">
        <f>C122*BondCalculator!$B$5/12</f>
        <v>17328.034780844722</v>
      </c>
      <c r="F122" s="20">
        <f t="shared" si="12"/>
        <v>8476.6750285566959</v>
      </c>
      <c r="G122" s="20">
        <f t="shared" si="13"/>
        <v>1881854.3919726857</v>
      </c>
      <c r="H122" s="26">
        <f t="shared" si="14"/>
        <v>0.75274175678907429</v>
      </c>
      <c r="J122" s="22">
        <f t="shared" si="15"/>
        <v>1468128.9717642176</v>
      </c>
      <c r="K122" s="22">
        <f>IF(N121=0,0,IF(N121&lt;BondCalculator!$B$12+BondCalculator!$B$7,N121+L122,BondCalculator!$B$12+BondCalculator!$B$7))</f>
        <v>27804.709809401418</v>
      </c>
      <c r="L122" s="22">
        <f>J122*BondCalculator!$B$5/12</f>
        <v>13457.848907838661</v>
      </c>
      <c r="M122" s="22">
        <f t="shared" si="16"/>
        <v>14346.860901562757</v>
      </c>
      <c r="N122" s="22">
        <f t="shared" si="9"/>
        <v>1453782.1108626549</v>
      </c>
      <c r="P122" s="22">
        <f t="shared" si="10"/>
        <v>3870.1858730060612</v>
      </c>
      <c r="Q122" s="23">
        <f>-PV(BondCalculator!$B$9/12,B122,0,1,0)</f>
        <v>0.55238089703098747</v>
      </c>
      <c r="S122" s="24">
        <f t="shared" si="11"/>
        <v>2137.8167442077433</v>
      </c>
    </row>
    <row r="123" spans="1:19" ht="16.05" customHeight="1" x14ac:dyDescent="0.25">
      <c r="A123" s="19" t="s">
        <v>107</v>
      </c>
      <c r="B123" s="35">
        <v>120</v>
      </c>
      <c r="C123" s="20">
        <f t="shared" si="17"/>
        <v>1881854.3919726857</v>
      </c>
      <c r="D123" s="20">
        <f>IF(G122=0,0,IF(G122&lt;BondCalculator!$B$12,G122+E123,BondCalculator!$B$12))</f>
        <v>25804.709809401418</v>
      </c>
      <c r="E123" s="20">
        <f>C123*BondCalculator!$B$5/12</f>
        <v>17250.331926416286</v>
      </c>
      <c r="F123" s="20">
        <f t="shared" si="12"/>
        <v>8554.3778829851326</v>
      </c>
      <c r="G123" s="20">
        <f t="shared" si="13"/>
        <v>1873300.0140897005</v>
      </c>
      <c r="H123" s="26">
        <f t="shared" si="14"/>
        <v>0.74932000563588019</v>
      </c>
      <c r="J123" s="22">
        <f t="shared" si="15"/>
        <v>1453782.1108626549</v>
      </c>
      <c r="K123" s="22">
        <f>IF(N122=0,0,IF(N122&lt;BondCalculator!$B$12+BondCalculator!$B$7,N122+L123,BondCalculator!$B$12+BondCalculator!$B$7))</f>
        <v>27804.709809401418</v>
      </c>
      <c r="L123" s="22">
        <f>J123*BondCalculator!$B$5/12</f>
        <v>13326.336016241003</v>
      </c>
      <c r="M123" s="22">
        <f t="shared" si="16"/>
        <v>14478.373793160416</v>
      </c>
      <c r="N123" s="22">
        <f t="shared" si="9"/>
        <v>1439303.7370694946</v>
      </c>
      <c r="P123" s="22">
        <f t="shared" si="10"/>
        <v>3923.9959101752829</v>
      </c>
      <c r="Q123" s="23">
        <f>-PV(BondCalculator!$B$9/12,B123,0,1,0)</f>
        <v>0.54963273336416663</v>
      </c>
      <c r="S123" s="24">
        <f t="shared" si="11"/>
        <v>2156.7565978194516</v>
      </c>
    </row>
    <row r="124" spans="1:19" ht="16.05" customHeight="1" x14ac:dyDescent="0.25">
      <c r="A124" s="19" t="s">
        <v>108</v>
      </c>
      <c r="B124" s="35">
        <v>121</v>
      </c>
      <c r="C124" s="20">
        <f t="shared" si="17"/>
        <v>1873300.0140897005</v>
      </c>
      <c r="D124" s="20">
        <f>IF(G123=0,0,IF(G123&lt;BondCalculator!$B$12,G123+E124,BondCalculator!$B$12))</f>
        <v>25804.709809401418</v>
      </c>
      <c r="E124" s="20">
        <f>C124*BondCalculator!$B$5/12</f>
        <v>17171.916795822257</v>
      </c>
      <c r="F124" s="20">
        <f t="shared" si="12"/>
        <v>8632.7930135791612</v>
      </c>
      <c r="G124" s="20">
        <f t="shared" si="13"/>
        <v>1864667.2210761213</v>
      </c>
      <c r="H124" s="26">
        <f t="shared" si="14"/>
        <v>0.74586688843044857</v>
      </c>
      <c r="J124" s="22">
        <f t="shared" si="15"/>
        <v>1439303.7370694946</v>
      </c>
      <c r="K124" s="22">
        <f>IF(N123=0,0,IF(N123&lt;BondCalculator!$B$12+BondCalculator!$B$7,N123+L124,BondCalculator!$B$12+BondCalculator!$B$7))</f>
        <v>27804.709809401418</v>
      </c>
      <c r="L124" s="22">
        <f>J124*BondCalculator!$B$5/12</f>
        <v>13193.617589803702</v>
      </c>
      <c r="M124" s="22">
        <f t="shared" si="16"/>
        <v>14611.092219597716</v>
      </c>
      <c r="N124" s="22">
        <f t="shared" si="9"/>
        <v>1424692.6448498969</v>
      </c>
      <c r="P124" s="22">
        <f t="shared" si="10"/>
        <v>3978.2992060185552</v>
      </c>
      <c r="Q124" s="23">
        <f>-PV(BondCalculator!$B$9/12,B124,0,1,0)</f>
        <v>0.54689824215339977</v>
      </c>
      <c r="S124" s="24">
        <f t="shared" si="11"/>
        <v>2175.7248425318139</v>
      </c>
    </row>
    <row r="125" spans="1:19" ht="16.05" customHeight="1" x14ac:dyDescent="0.25">
      <c r="A125" s="19" t="s">
        <v>108</v>
      </c>
      <c r="B125" s="35">
        <v>122</v>
      </c>
      <c r="C125" s="20">
        <f t="shared" si="17"/>
        <v>1864667.2210761213</v>
      </c>
      <c r="D125" s="20">
        <f>IF(G124=0,0,IF(G124&lt;BondCalculator!$B$12,G124+E125,BondCalculator!$B$12))</f>
        <v>25804.709809401418</v>
      </c>
      <c r="E125" s="20">
        <f>C125*BondCalculator!$B$5/12</f>
        <v>17092.782859864445</v>
      </c>
      <c r="F125" s="20">
        <f t="shared" si="12"/>
        <v>8711.9269495369736</v>
      </c>
      <c r="G125" s="20">
        <f t="shared" si="13"/>
        <v>1855955.2941265844</v>
      </c>
      <c r="H125" s="26">
        <f t="shared" si="14"/>
        <v>0.74238211765063378</v>
      </c>
      <c r="J125" s="22">
        <f t="shared" si="15"/>
        <v>1424692.6448498969</v>
      </c>
      <c r="K125" s="22">
        <f>IF(N124=0,0,IF(N124&lt;BondCalculator!$B$12+BondCalculator!$B$7,N124+L125,BondCalculator!$B$12+BondCalculator!$B$7))</f>
        <v>27804.709809401418</v>
      </c>
      <c r="L125" s="22">
        <f>J125*BondCalculator!$B$5/12</f>
        <v>13059.682577790722</v>
      </c>
      <c r="M125" s="22">
        <f t="shared" si="16"/>
        <v>14745.027231610697</v>
      </c>
      <c r="N125" s="22">
        <f t="shared" si="9"/>
        <v>1409947.6176182863</v>
      </c>
      <c r="P125" s="22">
        <f t="shared" si="10"/>
        <v>4033.1002820737231</v>
      </c>
      <c r="Q125" s="23">
        <f>-PV(BondCalculator!$B$9/12,B125,0,1,0)</f>
        <v>0.54417735537651724</v>
      </c>
      <c r="S125" s="24">
        <f t="shared" si="11"/>
        <v>2194.7218454671643</v>
      </c>
    </row>
    <row r="126" spans="1:19" ht="16.05" customHeight="1" x14ac:dyDescent="0.25">
      <c r="A126" s="19" t="s">
        <v>108</v>
      </c>
      <c r="B126" s="35">
        <v>123</v>
      </c>
      <c r="C126" s="20">
        <f t="shared" si="17"/>
        <v>1855955.2941265844</v>
      </c>
      <c r="D126" s="20">
        <f>IF(G125=0,0,IF(G125&lt;BondCalculator!$B$12,G125+E126,BondCalculator!$B$12))</f>
        <v>25804.709809401418</v>
      </c>
      <c r="E126" s="20">
        <f>C126*BondCalculator!$B$5/12</f>
        <v>17012.923529493692</v>
      </c>
      <c r="F126" s="20">
        <f t="shared" si="12"/>
        <v>8791.7862799077266</v>
      </c>
      <c r="G126" s="20">
        <f t="shared" si="13"/>
        <v>1847163.5078466767</v>
      </c>
      <c r="H126" s="26">
        <f t="shared" si="14"/>
        <v>0.73886540313867066</v>
      </c>
      <c r="J126" s="22">
        <f t="shared" si="15"/>
        <v>1409947.6176182863</v>
      </c>
      <c r="K126" s="22">
        <f>IF(N125=0,0,IF(N125&lt;BondCalculator!$B$12+BondCalculator!$B$7,N125+L126,BondCalculator!$B$12+BondCalculator!$B$7))</f>
        <v>27804.709809401418</v>
      </c>
      <c r="L126" s="22">
        <f>J126*BondCalculator!$B$5/12</f>
        <v>12924.519828167626</v>
      </c>
      <c r="M126" s="22">
        <f t="shared" si="16"/>
        <v>14880.189981233792</v>
      </c>
      <c r="N126" s="22">
        <f t="shared" si="9"/>
        <v>1395067.4276370525</v>
      </c>
      <c r="P126" s="22">
        <f t="shared" si="10"/>
        <v>4088.4037013260659</v>
      </c>
      <c r="Q126" s="23">
        <f>-PV(BondCalculator!$B$9/12,B126,0,1,0)</f>
        <v>0.54147000534976852</v>
      </c>
      <c r="S126" s="24">
        <f t="shared" si="11"/>
        <v>2213.7479740290382</v>
      </c>
    </row>
    <row r="127" spans="1:19" ht="16.05" customHeight="1" x14ac:dyDescent="0.25">
      <c r="A127" s="19" t="s">
        <v>108</v>
      </c>
      <c r="B127" s="35">
        <v>124</v>
      </c>
      <c r="C127" s="20">
        <f t="shared" si="17"/>
        <v>1847163.5078466767</v>
      </c>
      <c r="D127" s="20">
        <f>IF(G126=0,0,IF(G126&lt;BondCalculator!$B$12,G126+E127,BondCalculator!$B$12))</f>
        <v>25804.709809401418</v>
      </c>
      <c r="E127" s="20">
        <f>C127*BondCalculator!$B$5/12</f>
        <v>16932.332155261203</v>
      </c>
      <c r="F127" s="20">
        <f t="shared" si="12"/>
        <v>8872.3776541402149</v>
      </c>
      <c r="G127" s="20">
        <f t="shared" si="13"/>
        <v>1838291.1301925366</v>
      </c>
      <c r="H127" s="26">
        <f t="shared" si="14"/>
        <v>0.73531645207701468</v>
      </c>
      <c r="J127" s="22">
        <f t="shared" si="15"/>
        <v>1395067.4276370525</v>
      </c>
      <c r="K127" s="22">
        <f>IF(N126=0,0,IF(N126&lt;BondCalculator!$B$12+BondCalculator!$B$7,N126+L127,BondCalculator!$B$12+BondCalculator!$B$7))</f>
        <v>27804.709809401418</v>
      </c>
      <c r="L127" s="22">
        <f>J127*BondCalculator!$B$5/12</f>
        <v>12788.118086672983</v>
      </c>
      <c r="M127" s="22">
        <f t="shared" si="16"/>
        <v>15016.591722728435</v>
      </c>
      <c r="N127" s="22">
        <f t="shared" si="9"/>
        <v>1380050.835914324</v>
      </c>
      <c r="P127" s="22">
        <f t="shared" si="10"/>
        <v>4144.2140685882205</v>
      </c>
      <c r="Q127" s="23">
        <f>-PV(BondCalculator!$B$9/12,B127,0,1,0)</f>
        <v>0.53877612472613789</v>
      </c>
      <c r="S127" s="24">
        <f t="shared" si="11"/>
        <v>2232.8035959095023</v>
      </c>
    </row>
    <row r="128" spans="1:19" ht="16.05" customHeight="1" x14ac:dyDescent="0.25">
      <c r="A128" s="19" t="s">
        <v>108</v>
      </c>
      <c r="B128" s="35">
        <v>125</v>
      </c>
      <c r="C128" s="20">
        <f t="shared" si="17"/>
        <v>1838291.1301925366</v>
      </c>
      <c r="D128" s="20">
        <f>IF(G127=0,0,IF(G127&lt;BondCalculator!$B$12,G127+E128,BondCalculator!$B$12))</f>
        <v>25804.709809401418</v>
      </c>
      <c r="E128" s="20">
        <f>C128*BondCalculator!$B$5/12</f>
        <v>16851.00202676492</v>
      </c>
      <c r="F128" s="20">
        <f t="shared" si="12"/>
        <v>8953.7077826364985</v>
      </c>
      <c r="G128" s="20">
        <f t="shared" si="13"/>
        <v>1829337.4224099002</v>
      </c>
      <c r="H128" s="26">
        <f t="shared" si="14"/>
        <v>0.73173496896396006</v>
      </c>
      <c r="J128" s="22">
        <f t="shared" si="15"/>
        <v>1380050.835914324</v>
      </c>
      <c r="K128" s="22">
        <f>IF(N127=0,0,IF(N127&lt;BondCalculator!$B$12+BondCalculator!$B$7,N127+L128,BondCalculator!$B$12+BondCalculator!$B$7))</f>
        <v>27804.709809401418</v>
      </c>
      <c r="L128" s="22">
        <f>J128*BondCalculator!$B$5/12</f>
        <v>12650.465995881304</v>
      </c>
      <c r="M128" s="22">
        <f t="shared" si="16"/>
        <v>15154.243813520114</v>
      </c>
      <c r="N128" s="22">
        <f t="shared" si="9"/>
        <v>1364896.592100804</v>
      </c>
      <c r="P128" s="22">
        <f t="shared" si="10"/>
        <v>4200.5360308836152</v>
      </c>
      <c r="Q128" s="23">
        <f>-PV(BondCalculator!$B$9/12,B128,0,1,0)</f>
        <v>0.5360956464936697</v>
      </c>
      <c r="S128" s="24">
        <f t="shared" si="11"/>
        <v>2251.8890790965052</v>
      </c>
    </row>
    <row r="129" spans="1:19" ht="16.05" customHeight="1" x14ac:dyDescent="0.25">
      <c r="A129" s="19" t="s">
        <v>108</v>
      </c>
      <c r="B129" s="35">
        <v>126</v>
      </c>
      <c r="C129" s="20">
        <f t="shared" si="17"/>
        <v>1829337.4224099002</v>
      </c>
      <c r="D129" s="20">
        <f>IF(G128=0,0,IF(G128&lt;BondCalculator!$B$12,G128+E129,BondCalculator!$B$12))</f>
        <v>25804.709809401418</v>
      </c>
      <c r="E129" s="20">
        <f>C129*BondCalculator!$B$5/12</f>
        <v>16768.926372090751</v>
      </c>
      <c r="F129" s="20">
        <f t="shared" si="12"/>
        <v>9035.7834373106671</v>
      </c>
      <c r="G129" s="20">
        <f t="shared" si="13"/>
        <v>1820301.6389725895</v>
      </c>
      <c r="H129" s="26">
        <f t="shared" si="14"/>
        <v>0.72812065558903583</v>
      </c>
      <c r="J129" s="22">
        <f t="shared" si="15"/>
        <v>1364896.592100804</v>
      </c>
      <c r="K129" s="22">
        <f>IF(N128=0,0,IF(N128&lt;BondCalculator!$B$12+BondCalculator!$B$7,N128+L129,BondCalculator!$B$12+BondCalculator!$B$7))</f>
        <v>27804.709809401418</v>
      </c>
      <c r="L129" s="22">
        <f>J129*BondCalculator!$B$5/12</f>
        <v>12511.552094257369</v>
      </c>
      <c r="M129" s="22">
        <f t="shared" si="16"/>
        <v>15293.157715144049</v>
      </c>
      <c r="N129" s="22">
        <f t="shared" si="9"/>
        <v>1349603.4343856599</v>
      </c>
      <c r="P129" s="22">
        <f t="shared" si="10"/>
        <v>4257.3742778333817</v>
      </c>
      <c r="Q129" s="23">
        <f>-PV(BondCalculator!$B$9/12,B129,0,1,0)</f>
        <v>0.53342850397380071</v>
      </c>
      <c r="S129" s="24">
        <f t="shared" si="11"/>
        <v>2271.0047918812011</v>
      </c>
    </row>
    <row r="130" spans="1:19" ht="16.05" customHeight="1" x14ac:dyDescent="0.25">
      <c r="A130" s="19" t="s">
        <v>108</v>
      </c>
      <c r="B130" s="35">
        <v>127</v>
      </c>
      <c r="C130" s="20">
        <f t="shared" si="17"/>
        <v>1820301.6389725895</v>
      </c>
      <c r="D130" s="20">
        <f>IF(G129=0,0,IF(G129&lt;BondCalculator!$B$12,G129+E130,BondCalculator!$B$12))</f>
        <v>25804.709809401418</v>
      </c>
      <c r="E130" s="20">
        <f>C130*BondCalculator!$B$5/12</f>
        <v>16686.098357248738</v>
      </c>
      <c r="F130" s="20">
        <f t="shared" si="12"/>
        <v>9118.6114521526797</v>
      </c>
      <c r="G130" s="20">
        <f t="shared" si="13"/>
        <v>1811183.0275204368</v>
      </c>
      <c r="H130" s="26">
        <f t="shared" si="14"/>
        <v>0.72447321100817474</v>
      </c>
      <c r="J130" s="22">
        <f t="shared" si="15"/>
        <v>1349603.4343856599</v>
      </c>
      <c r="K130" s="22">
        <f>IF(N129=0,0,IF(N129&lt;BondCalculator!$B$12+BondCalculator!$B$7,N129+L130,BondCalculator!$B$12+BondCalculator!$B$7))</f>
        <v>27804.709809401418</v>
      </c>
      <c r="L130" s="22">
        <f>J130*BondCalculator!$B$5/12</f>
        <v>12371.364815201881</v>
      </c>
      <c r="M130" s="22">
        <f t="shared" si="16"/>
        <v>15433.344994199537</v>
      </c>
      <c r="N130" s="22">
        <f t="shared" si="9"/>
        <v>1334170.0893914604</v>
      </c>
      <c r="P130" s="22">
        <f t="shared" si="10"/>
        <v>4314.7335420468571</v>
      </c>
      <c r="Q130" s="23">
        <f>-PV(BondCalculator!$B$9/12,B130,0,1,0)</f>
        <v>0.53077463081970233</v>
      </c>
      <c r="S130" s="24">
        <f t="shared" si="11"/>
        <v>2290.1511028653072</v>
      </c>
    </row>
    <row r="131" spans="1:19" ht="16.05" customHeight="1" x14ac:dyDescent="0.25">
      <c r="A131" s="19" t="s">
        <v>108</v>
      </c>
      <c r="B131" s="35">
        <v>128</v>
      </c>
      <c r="C131" s="20">
        <f t="shared" si="17"/>
        <v>1811183.0275204368</v>
      </c>
      <c r="D131" s="20">
        <f>IF(G130=0,0,IF(G130&lt;BondCalculator!$B$12,G130+E131,BondCalculator!$B$12))</f>
        <v>25804.709809401418</v>
      </c>
      <c r="E131" s="20">
        <f>C131*BondCalculator!$B$5/12</f>
        <v>16602.511085604005</v>
      </c>
      <c r="F131" s="20">
        <f t="shared" si="12"/>
        <v>9202.1987237974135</v>
      </c>
      <c r="G131" s="20">
        <f t="shared" si="13"/>
        <v>1801980.8287966393</v>
      </c>
      <c r="H131" s="26">
        <f t="shared" si="14"/>
        <v>0.72079233151865574</v>
      </c>
      <c r="J131" s="22">
        <f t="shared" si="15"/>
        <v>1334170.0893914604</v>
      </c>
      <c r="K131" s="22">
        <f>IF(N130=0,0,IF(N130&lt;BondCalculator!$B$12+BondCalculator!$B$7,N130+L131,BondCalculator!$B$12+BondCalculator!$B$7))</f>
        <v>27804.709809401418</v>
      </c>
      <c r="L131" s="22">
        <f>J131*BondCalculator!$B$5/12</f>
        <v>12229.892486088387</v>
      </c>
      <c r="M131" s="22">
        <f t="shared" si="16"/>
        <v>15574.817323313031</v>
      </c>
      <c r="N131" s="22">
        <f t="shared" si="9"/>
        <v>1318595.2720681473</v>
      </c>
      <c r="P131" s="22">
        <f t="shared" si="10"/>
        <v>4372.6185995156175</v>
      </c>
      <c r="Q131" s="23">
        <f>-PV(BondCalculator!$B$9/12,B131,0,1,0)</f>
        <v>0.52813396101462928</v>
      </c>
      <c r="S131" s="24">
        <f t="shared" si="11"/>
        <v>2309.328380968424</v>
      </c>
    </row>
    <row r="132" spans="1:19" ht="16.05" customHeight="1" x14ac:dyDescent="0.25">
      <c r="A132" s="19" t="s">
        <v>108</v>
      </c>
      <c r="B132" s="35">
        <v>129</v>
      </c>
      <c r="C132" s="20">
        <f t="shared" si="17"/>
        <v>1801980.8287966393</v>
      </c>
      <c r="D132" s="20">
        <f>IF(G131=0,0,IF(G131&lt;BondCalculator!$B$12,G131+E132,BondCalculator!$B$12))</f>
        <v>25804.709809401418</v>
      </c>
      <c r="E132" s="20">
        <f>C132*BondCalculator!$B$5/12</f>
        <v>16518.157597302528</v>
      </c>
      <c r="F132" s="20">
        <f t="shared" si="12"/>
        <v>9286.5522120988899</v>
      </c>
      <c r="G132" s="20">
        <f t="shared" si="13"/>
        <v>1792694.2765845405</v>
      </c>
      <c r="H132" s="26">
        <f t="shared" si="14"/>
        <v>0.7170777106338162</v>
      </c>
      <c r="J132" s="22">
        <f t="shared" si="15"/>
        <v>1318595.2720681473</v>
      </c>
      <c r="K132" s="22">
        <f>IF(N131=0,0,IF(N131&lt;BondCalculator!$B$12+BondCalculator!$B$7,N131+L132,BondCalculator!$B$12+BondCalculator!$B$7))</f>
        <v>27804.709809401418</v>
      </c>
      <c r="L132" s="22">
        <f>J132*BondCalculator!$B$5/12</f>
        <v>12087.123327291351</v>
      </c>
      <c r="M132" s="22">
        <f t="shared" si="16"/>
        <v>15717.586482110068</v>
      </c>
      <c r="N132" s="22">
        <f t="shared" ref="N132:N195" si="18">J132-M132</f>
        <v>1302877.6855860373</v>
      </c>
      <c r="P132" s="22">
        <f t="shared" ref="P132:P195" si="19">E132-L132</f>
        <v>4431.0342700111778</v>
      </c>
      <c r="Q132" s="23">
        <f>-PV(BondCalculator!$B$9/12,B132,0,1,0)</f>
        <v>0.52550642887027799</v>
      </c>
      <c r="S132" s="24">
        <f t="shared" ref="S132:S195" si="20">P132*Q132</f>
        <v>2328.5369954353932</v>
      </c>
    </row>
    <row r="133" spans="1:19" ht="16.05" customHeight="1" x14ac:dyDescent="0.25">
      <c r="A133" s="19" t="s">
        <v>108</v>
      </c>
      <c r="B133" s="35">
        <v>130</v>
      </c>
      <c r="C133" s="20">
        <f t="shared" si="17"/>
        <v>1792694.2765845405</v>
      </c>
      <c r="D133" s="20">
        <f>IF(G132=0,0,IF(G132&lt;BondCalculator!$B$12,G132+E133,BondCalculator!$B$12))</f>
        <v>25804.709809401418</v>
      </c>
      <c r="E133" s="20">
        <f>C133*BondCalculator!$B$5/12</f>
        <v>16433.030868691621</v>
      </c>
      <c r="F133" s="20">
        <f t="shared" ref="F133:F196" si="21">D133-E133</f>
        <v>9371.6789407097967</v>
      </c>
      <c r="G133" s="20">
        <f t="shared" ref="G133:G196" si="22">IF(ROUND(C133-F133,0)=0,0,C133-F133)</f>
        <v>1783322.5976438308</v>
      </c>
      <c r="H133" s="26">
        <f t="shared" ref="H133:H196" si="23">G133/$C$4</f>
        <v>0.71332903905753231</v>
      </c>
      <c r="J133" s="22">
        <f t="shared" ref="J133:J196" si="24">IF(ROUND(N132,0)&gt;0,N132,0)</f>
        <v>1302877.6855860373</v>
      </c>
      <c r="K133" s="22">
        <f>IF(N132=0,0,IF(N132&lt;BondCalculator!$B$12+BondCalculator!$B$7,N132+L133,BondCalculator!$B$12+BondCalculator!$B$7))</f>
        <v>27804.709809401418</v>
      </c>
      <c r="L133" s="22">
        <f>J133*BondCalculator!$B$5/12</f>
        <v>11943.045451205342</v>
      </c>
      <c r="M133" s="22">
        <f t="shared" ref="M133:M196" si="25">IF(K133-L133&gt;N132,N132,K133-L133)</f>
        <v>15861.664358196076</v>
      </c>
      <c r="N133" s="22">
        <f t="shared" si="18"/>
        <v>1287016.0212278413</v>
      </c>
      <c r="P133" s="22">
        <f t="shared" si="19"/>
        <v>4489.9854174862794</v>
      </c>
      <c r="Q133" s="23">
        <f>-PV(BondCalculator!$B$9/12,B133,0,1,0)</f>
        <v>0.52289196902515223</v>
      </c>
      <c r="S133" s="24">
        <f t="shared" si="20"/>
        <v>2347.7773158436207</v>
      </c>
    </row>
    <row r="134" spans="1:19" ht="16.05" customHeight="1" x14ac:dyDescent="0.25">
      <c r="A134" s="19" t="s">
        <v>108</v>
      </c>
      <c r="B134" s="35">
        <v>131</v>
      </c>
      <c r="C134" s="20">
        <f t="shared" ref="C134:C197" si="26">IF(ROUND(G133,0)=0,0,G133)</f>
        <v>1783322.5976438308</v>
      </c>
      <c r="D134" s="20">
        <f>IF(G133=0,0,IF(G133&lt;BondCalculator!$B$12,G133+E134,BondCalculator!$B$12))</f>
        <v>25804.709809401418</v>
      </c>
      <c r="E134" s="20">
        <f>C134*BondCalculator!$B$5/12</f>
        <v>16347.123811735117</v>
      </c>
      <c r="F134" s="20">
        <f t="shared" si="21"/>
        <v>9457.5859976663014</v>
      </c>
      <c r="G134" s="20">
        <f t="shared" si="22"/>
        <v>1773865.0116461646</v>
      </c>
      <c r="H134" s="26">
        <f t="shared" si="23"/>
        <v>0.70954600465846585</v>
      </c>
      <c r="J134" s="22">
        <f t="shared" si="24"/>
        <v>1287016.0212278413</v>
      </c>
      <c r="K134" s="22">
        <f>IF(N133=0,0,IF(N133&lt;BondCalculator!$B$12+BondCalculator!$B$7,N133+L134,BondCalculator!$B$12+BondCalculator!$B$7))</f>
        <v>27804.709809401418</v>
      </c>
      <c r="L134" s="22">
        <f>J134*BondCalculator!$B$5/12</f>
        <v>11797.646861255213</v>
      </c>
      <c r="M134" s="22">
        <f t="shared" si="25"/>
        <v>16007.062948146206</v>
      </c>
      <c r="N134" s="22">
        <f t="shared" si="18"/>
        <v>1271008.9582796951</v>
      </c>
      <c r="P134" s="22">
        <f t="shared" si="19"/>
        <v>4549.4769504799042</v>
      </c>
      <c r="Q134" s="23">
        <f>-PV(BondCalculator!$B$9/12,B134,0,1,0)</f>
        <v>0.52029051644293767</v>
      </c>
      <c r="S134" s="24">
        <f t="shared" si="20"/>
        <v>2367.0497121104304</v>
      </c>
    </row>
    <row r="135" spans="1:19" ht="16.05" customHeight="1" x14ac:dyDescent="0.25">
      <c r="A135" s="19" t="s">
        <v>108</v>
      </c>
      <c r="B135" s="35">
        <v>132</v>
      </c>
      <c r="C135" s="20">
        <f t="shared" si="26"/>
        <v>1773865.0116461646</v>
      </c>
      <c r="D135" s="20">
        <f>IF(G134=0,0,IF(G134&lt;BondCalculator!$B$12,G134+E135,BondCalculator!$B$12))</f>
        <v>25804.709809401418</v>
      </c>
      <c r="E135" s="20">
        <f>C135*BondCalculator!$B$5/12</f>
        <v>16260.429273423177</v>
      </c>
      <c r="F135" s="20">
        <f t="shared" si="21"/>
        <v>9544.2805359782415</v>
      </c>
      <c r="G135" s="20">
        <f t="shared" si="22"/>
        <v>1764320.7311101863</v>
      </c>
      <c r="H135" s="26">
        <f t="shared" si="23"/>
        <v>0.70572829244407453</v>
      </c>
      <c r="J135" s="22">
        <f t="shared" si="24"/>
        <v>1271008.9582796951</v>
      </c>
      <c r="K135" s="22">
        <f>IF(N134=0,0,IF(N134&lt;BondCalculator!$B$12+BondCalculator!$B$7,N134+L135,BondCalculator!$B$12+BondCalculator!$B$7))</f>
        <v>27804.709809401418</v>
      </c>
      <c r="L135" s="22">
        <f>J135*BondCalculator!$B$5/12</f>
        <v>11650.915450897206</v>
      </c>
      <c r="M135" s="22">
        <f t="shared" si="25"/>
        <v>16153.794358504212</v>
      </c>
      <c r="N135" s="22">
        <f t="shared" si="18"/>
        <v>1254855.1639211909</v>
      </c>
      <c r="P135" s="22">
        <f t="shared" si="19"/>
        <v>4609.5138225259707</v>
      </c>
      <c r="Q135" s="23">
        <f>-PV(BondCalculator!$B$9/12,B135,0,1,0)</f>
        <v>0.51770200641088326</v>
      </c>
      <c r="S135" s="24">
        <f t="shared" si="20"/>
        <v>2386.3545545003949</v>
      </c>
    </row>
    <row r="136" spans="1:19" ht="16.05" customHeight="1" x14ac:dyDescent="0.25">
      <c r="A136" s="19" t="s">
        <v>109</v>
      </c>
      <c r="B136" s="35">
        <v>133</v>
      </c>
      <c r="C136" s="20">
        <f t="shared" si="26"/>
        <v>1764320.7311101863</v>
      </c>
      <c r="D136" s="20">
        <f>IF(G135=0,0,IF(G135&lt;BondCalculator!$B$12,G135+E136,BondCalculator!$B$12))</f>
        <v>25804.709809401418</v>
      </c>
      <c r="E136" s="20">
        <f>C136*BondCalculator!$B$5/12</f>
        <v>16172.940035176709</v>
      </c>
      <c r="F136" s="20">
        <f t="shared" si="21"/>
        <v>9631.7697742247092</v>
      </c>
      <c r="G136" s="20">
        <f t="shared" si="22"/>
        <v>1754688.9613359617</v>
      </c>
      <c r="H136" s="26">
        <f t="shared" si="23"/>
        <v>0.7018755845343847</v>
      </c>
      <c r="J136" s="22">
        <f t="shared" si="24"/>
        <v>1254855.1639211909</v>
      </c>
      <c r="K136" s="22">
        <f>IF(N135=0,0,IF(N135&lt;BondCalculator!$B$12+BondCalculator!$B$7,N135+L136,BondCalculator!$B$12+BondCalculator!$B$7))</f>
        <v>27804.709809401418</v>
      </c>
      <c r="L136" s="22">
        <f>J136*BondCalculator!$B$5/12</f>
        <v>11502.839002610917</v>
      </c>
      <c r="M136" s="22">
        <f t="shared" si="25"/>
        <v>16301.870806790501</v>
      </c>
      <c r="N136" s="22">
        <f t="shared" si="18"/>
        <v>1238553.2931144005</v>
      </c>
      <c r="P136" s="22">
        <f t="shared" si="19"/>
        <v>4670.1010325657917</v>
      </c>
      <c r="Q136" s="23">
        <f>-PV(BondCalculator!$B$9/12,B136,0,1,0)</f>
        <v>0.51512637453819243</v>
      </c>
      <c r="S136" s="24">
        <f t="shared" si="20"/>
        <v>2405.6922136326853</v>
      </c>
    </row>
    <row r="137" spans="1:19" ht="16.05" customHeight="1" x14ac:dyDescent="0.25">
      <c r="A137" s="19" t="s">
        <v>109</v>
      </c>
      <c r="B137" s="35">
        <v>134</v>
      </c>
      <c r="C137" s="20">
        <f t="shared" si="26"/>
        <v>1754688.9613359617</v>
      </c>
      <c r="D137" s="20">
        <f>IF(G136=0,0,IF(G136&lt;BondCalculator!$B$12,G136+E137,BondCalculator!$B$12))</f>
        <v>25804.709809401418</v>
      </c>
      <c r="E137" s="20">
        <f>C137*BondCalculator!$B$5/12</f>
        <v>16084.648812246314</v>
      </c>
      <c r="F137" s="20">
        <f t="shared" si="21"/>
        <v>9720.0609971551039</v>
      </c>
      <c r="G137" s="20">
        <f t="shared" si="22"/>
        <v>1744968.9003388067</v>
      </c>
      <c r="H137" s="26">
        <f t="shared" si="23"/>
        <v>0.69798756013552266</v>
      </c>
      <c r="J137" s="22">
        <f t="shared" si="24"/>
        <v>1238553.2931144005</v>
      </c>
      <c r="K137" s="22">
        <f>IF(N136=0,0,IF(N136&lt;BondCalculator!$B$12+BondCalculator!$B$7,N136+L137,BondCalculator!$B$12+BondCalculator!$B$7))</f>
        <v>27804.709809401418</v>
      </c>
      <c r="L137" s="22">
        <f>J137*BondCalculator!$B$5/12</f>
        <v>11353.405186882004</v>
      </c>
      <c r="M137" s="22">
        <f t="shared" si="25"/>
        <v>16451.304622519412</v>
      </c>
      <c r="N137" s="22">
        <f t="shared" si="18"/>
        <v>1222101.9884918812</v>
      </c>
      <c r="P137" s="22">
        <f t="shared" si="19"/>
        <v>4731.24362536431</v>
      </c>
      <c r="Q137" s="23">
        <f>-PV(BondCalculator!$B$9/12,B137,0,1,0)</f>
        <v>0.51256355675442045</v>
      </c>
      <c r="S137" s="24">
        <f t="shared" si="20"/>
        <v>2425.0630604884095</v>
      </c>
    </row>
    <row r="138" spans="1:19" ht="16.05" customHeight="1" x14ac:dyDescent="0.25">
      <c r="A138" s="19" t="s">
        <v>109</v>
      </c>
      <c r="B138" s="35">
        <v>135</v>
      </c>
      <c r="C138" s="20">
        <f t="shared" si="26"/>
        <v>1744968.9003388067</v>
      </c>
      <c r="D138" s="20">
        <f>IF(G137=0,0,IF(G137&lt;BondCalculator!$B$12,G137+E138,BondCalculator!$B$12))</f>
        <v>25804.709809401418</v>
      </c>
      <c r="E138" s="20">
        <f>C138*BondCalculator!$B$5/12</f>
        <v>15995.548253105728</v>
      </c>
      <c r="F138" s="20">
        <f t="shared" si="21"/>
        <v>9809.1615562956904</v>
      </c>
      <c r="G138" s="20">
        <f t="shared" si="22"/>
        <v>1735159.7387825111</v>
      </c>
      <c r="H138" s="26">
        <f t="shared" si="23"/>
        <v>0.6940638955130044</v>
      </c>
      <c r="J138" s="22">
        <f t="shared" si="24"/>
        <v>1222101.9884918812</v>
      </c>
      <c r="K138" s="22">
        <f>IF(N137=0,0,IF(N137&lt;BondCalculator!$B$12+BondCalculator!$B$7,N137+L138,BondCalculator!$B$12+BondCalculator!$B$7))</f>
        <v>27804.709809401418</v>
      </c>
      <c r="L138" s="22">
        <f>J138*BondCalculator!$B$5/12</f>
        <v>11202.601561175577</v>
      </c>
      <c r="M138" s="22">
        <f t="shared" si="25"/>
        <v>16602.108248225843</v>
      </c>
      <c r="N138" s="22">
        <f t="shared" si="18"/>
        <v>1205499.8802436553</v>
      </c>
      <c r="P138" s="22">
        <f t="shared" si="19"/>
        <v>4792.9466919301503</v>
      </c>
      <c r="Q138" s="23">
        <f>-PV(BondCalculator!$B$9/12,B138,0,1,0)</f>
        <v>0.51001348930788115</v>
      </c>
      <c r="S138" s="24">
        <f t="shared" si="20"/>
        <v>2444.467466417962</v>
      </c>
    </row>
    <row r="139" spans="1:19" ht="16.05" customHeight="1" x14ac:dyDescent="0.25">
      <c r="A139" s="19" t="s">
        <v>109</v>
      </c>
      <c r="B139" s="35">
        <v>136</v>
      </c>
      <c r="C139" s="20">
        <f t="shared" si="26"/>
        <v>1735159.7387825111</v>
      </c>
      <c r="D139" s="20">
        <f>IF(G138=0,0,IF(G138&lt;BondCalculator!$B$12,G138+E139,BondCalculator!$B$12))</f>
        <v>25804.709809401418</v>
      </c>
      <c r="E139" s="20">
        <f>C139*BondCalculator!$B$5/12</f>
        <v>15905.630938839684</v>
      </c>
      <c r="F139" s="20">
        <f t="shared" si="21"/>
        <v>9899.0788705617342</v>
      </c>
      <c r="G139" s="20">
        <f t="shared" si="22"/>
        <v>1725260.6599119494</v>
      </c>
      <c r="H139" s="26">
        <f t="shared" si="23"/>
        <v>0.69010426396477975</v>
      </c>
      <c r="J139" s="22">
        <f t="shared" si="24"/>
        <v>1205499.8802436553</v>
      </c>
      <c r="K139" s="22">
        <f>IF(N138=0,0,IF(N138&lt;BondCalculator!$B$12+BondCalculator!$B$7,N138+L139,BondCalculator!$B$12+BondCalculator!$B$7))</f>
        <v>27804.709809401418</v>
      </c>
      <c r="L139" s="22">
        <f>J139*BondCalculator!$B$5/12</f>
        <v>11050.415568900173</v>
      </c>
      <c r="M139" s="22">
        <f t="shared" si="25"/>
        <v>16754.294240501244</v>
      </c>
      <c r="N139" s="22">
        <f t="shared" si="18"/>
        <v>1188745.5860031541</v>
      </c>
      <c r="P139" s="22">
        <f t="shared" si="19"/>
        <v>4855.2153699395112</v>
      </c>
      <c r="Q139" s="23">
        <f>-PV(BondCalculator!$B$9/12,B139,0,1,0)</f>
        <v>0.5074761087640608</v>
      </c>
      <c r="S139" s="24">
        <f t="shared" si="20"/>
        <v>2463.9058031483632</v>
      </c>
    </row>
    <row r="140" spans="1:19" ht="16.05" customHeight="1" x14ac:dyDescent="0.25">
      <c r="A140" s="19" t="s">
        <v>109</v>
      </c>
      <c r="B140" s="35">
        <v>137</v>
      </c>
      <c r="C140" s="20">
        <f t="shared" si="26"/>
        <v>1725260.6599119494</v>
      </c>
      <c r="D140" s="20">
        <f>IF(G139=0,0,IF(G139&lt;BondCalculator!$B$12,G139+E140,BondCalculator!$B$12))</f>
        <v>25804.709809401418</v>
      </c>
      <c r="E140" s="20">
        <f>C140*BondCalculator!$B$5/12</f>
        <v>15814.889382526204</v>
      </c>
      <c r="F140" s="20">
        <f t="shared" si="21"/>
        <v>9989.8204268752143</v>
      </c>
      <c r="G140" s="20">
        <f t="shared" si="22"/>
        <v>1715270.8394850742</v>
      </c>
      <c r="H140" s="26">
        <f t="shared" si="23"/>
        <v>0.68610833579402963</v>
      </c>
      <c r="J140" s="22">
        <f t="shared" si="24"/>
        <v>1188745.5860031541</v>
      </c>
      <c r="K140" s="22">
        <f>IF(N139=0,0,IF(N139&lt;BondCalculator!$B$12+BondCalculator!$B$7,N139+L140,BondCalculator!$B$12+BondCalculator!$B$7))</f>
        <v>27804.709809401418</v>
      </c>
      <c r="L140" s="22">
        <f>J140*BondCalculator!$B$5/12</f>
        <v>10896.834538362245</v>
      </c>
      <c r="M140" s="22">
        <f t="shared" si="25"/>
        <v>16907.875271039171</v>
      </c>
      <c r="N140" s="22">
        <f t="shared" si="18"/>
        <v>1171837.710732115</v>
      </c>
      <c r="P140" s="22">
        <f t="shared" si="19"/>
        <v>4918.0548441639585</v>
      </c>
      <c r="Q140" s="23">
        <f>-PV(BondCalculator!$B$9/12,B140,0,1,0)</f>
        <v>0.50495135200404062</v>
      </c>
      <c r="S140" s="24">
        <f t="shared" si="20"/>
        <v>2483.3784427906121</v>
      </c>
    </row>
    <row r="141" spans="1:19" ht="16.05" customHeight="1" x14ac:dyDescent="0.25">
      <c r="A141" s="19" t="s">
        <v>109</v>
      </c>
      <c r="B141" s="35">
        <v>138</v>
      </c>
      <c r="C141" s="20">
        <f t="shared" si="26"/>
        <v>1715270.8394850742</v>
      </c>
      <c r="D141" s="20">
        <f>IF(G140=0,0,IF(G140&lt;BondCalculator!$B$12,G140+E141,BondCalculator!$B$12))</f>
        <v>25804.709809401418</v>
      </c>
      <c r="E141" s="20">
        <f>C141*BondCalculator!$B$5/12</f>
        <v>15723.316028613181</v>
      </c>
      <c r="F141" s="20">
        <f t="shared" si="21"/>
        <v>10081.393780788238</v>
      </c>
      <c r="G141" s="20">
        <f t="shared" si="22"/>
        <v>1705189.445704286</v>
      </c>
      <c r="H141" s="26">
        <f t="shared" si="23"/>
        <v>0.6820757782817144</v>
      </c>
      <c r="J141" s="22">
        <f t="shared" si="24"/>
        <v>1171837.710732115</v>
      </c>
      <c r="K141" s="22">
        <f>IF(N140=0,0,IF(N140&lt;BondCalculator!$B$12+BondCalculator!$B$7,N140+L141,BondCalculator!$B$12+BondCalculator!$B$7))</f>
        <v>27804.709809401418</v>
      </c>
      <c r="L141" s="22">
        <f>J141*BondCalculator!$B$5/12</f>
        <v>10741.845681711055</v>
      </c>
      <c r="M141" s="22">
        <f t="shared" si="25"/>
        <v>17062.864127690365</v>
      </c>
      <c r="N141" s="22">
        <f t="shared" si="18"/>
        <v>1154774.8466044245</v>
      </c>
      <c r="P141" s="22">
        <f t="shared" si="19"/>
        <v>4981.470346902126</v>
      </c>
      <c r="Q141" s="23">
        <f>-PV(BondCalculator!$B$9/12,B141,0,1,0)</f>
        <v>0.50243915622292612</v>
      </c>
      <c r="S141" s="24">
        <f t="shared" si="20"/>
        <v>2502.8857578470311</v>
      </c>
    </row>
    <row r="142" spans="1:19" ht="16.05" customHeight="1" x14ac:dyDescent="0.25">
      <c r="A142" s="19" t="s">
        <v>109</v>
      </c>
      <c r="B142" s="35">
        <v>139</v>
      </c>
      <c r="C142" s="20">
        <f t="shared" si="26"/>
        <v>1705189.445704286</v>
      </c>
      <c r="D142" s="20">
        <f>IF(G141=0,0,IF(G141&lt;BondCalculator!$B$12,G141+E142,BondCalculator!$B$12))</f>
        <v>25804.709809401418</v>
      </c>
      <c r="E142" s="20">
        <f>C142*BondCalculator!$B$5/12</f>
        <v>15630.903252289289</v>
      </c>
      <c r="F142" s="20">
        <f t="shared" si="21"/>
        <v>10173.80655711213</v>
      </c>
      <c r="G142" s="20">
        <f t="shared" si="22"/>
        <v>1695015.6391471738</v>
      </c>
      <c r="H142" s="26">
        <f t="shared" si="23"/>
        <v>0.67800625565886952</v>
      </c>
      <c r="J142" s="22">
        <f t="shared" si="24"/>
        <v>1154774.8466044245</v>
      </c>
      <c r="K142" s="22">
        <f>IF(N141=0,0,IF(N141&lt;BondCalculator!$B$12+BondCalculator!$B$7,N141+L142,BondCalculator!$B$12+BondCalculator!$B$7))</f>
        <v>27804.709809401418</v>
      </c>
      <c r="L142" s="22">
        <f>J142*BondCalculator!$B$5/12</f>
        <v>10585.436093873892</v>
      </c>
      <c r="M142" s="22">
        <f t="shared" si="25"/>
        <v>17219.273715527524</v>
      </c>
      <c r="N142" s="22">
        <f t="shared" si="18"/>
        <v>1137555.572888897</v>
      </c>
      <c r="P142" s="22">
        <f t="shared" si="19"/>
        <v>5045.4671584153966</v>
      </c>
      <c r="Q142" s="23">
        <f>-PV(BondCalculator!$B$9/12,B142,0,1,0)</f>
        <v>0.49993945892828473</v>
      </c>
      <c r="S142" s="24">
        <f t="shared" si="20"/>
        <v>2522.4281212186238</v>
      </c>
    </row>
    <row r="143" spans="1:19" ht="16.05" customHeight="1" x14ac:dyDescent="0.25">
      <c r="A143" s="19" t="s">
        <v>109</v>
      </c>
      <c r="B143" s="35">
        <v>140</v>
      </c>
      <c r="C143" s="20">
        <f t="shared" si="26"/>
        <v>1695015.6391471738</v>
      </c>
      <c r="D143" s="20">
        <f>IF(G142=0,0,IF(G142&lt;BondCalculator!$B$12,G142+E143,BondCalculator!$B$12))</f>
        <v>25804.709809401418</v>
      </c>
      <c r="E143" s="20">
        <f>C143*BondCalculator!$B$5/12</f>
        <v>15537.643358849093</v>
      </c>
      <c r="F143" s="20">
        <f t="shared" si="21"/>
        <v>10267.066450552325</v>
      </c>
      <c r="G143" s="20">
        <f t="shared" si="22"/>
        <v>1684748.5726966215</v>
      </c>
      <c r="H143" s="26">
        <f t="shared" si="23"/>
        <v>0.67389942907864864</v>
      </c>
      <c r="J143" s="22">
        <f t="shared" si="24"/>
        <v>1137555.572888897</v>
      </c>
      <c r="K143" s="22">
        <f>IF(N142=0,0,IF(N142&lt;BondCalculator!$B$12+BondCalculator!$B$7,N142+L143,BondCalculator!$B$12+BondCalculator!$B$7))</f>
        <v>27804.709809401418</v>
      </c>
      <c r="L143" s="22">
        <f>J143*BondCalculator!$B$5/12</f>
        <v>10427.592751481556</v>
      </c>
      <c r="M143" s="22">
        <f t="shared" si="25"/>
        <v>17377.117057919862</v>
      </c>
      <c r="N143" s="22">
        <f t="shared" si="18"/>
        <v>1120178.4558309771</v>
      </c>
      <c r="P143" s="22">
        <f t="shared" si="19"/>
        <v>5110.0506073675369</v>
      </c>
      <c r="Q143" s="23">
        <f>-PV(BondCalculator!$B$9/12,B143,0,1,0)</f>
        <v>0.49745219793859191</v>
      </c>
      <c r="S143" s="24">
        <f t="shared" si="20"/>
        <v>2542.0059062124178</v>
      </c>
    </row>
    <row r="144" spans="1:19" ht="16.05" customHeight="1" x14ac:dyDescent="0.25">
      <c r="A144" s="19" t="s">
        <v>109</v>
      </c>
      <c r="B144" s="35">
        <v>141</v>
      </c>
      <c r="C144" s="20">
        <f t="shared" si="26"/>
        <v>1684748.5726966215</v>
      </c>
      <c r="D144" s="20">
        <f>IF(G143=0,0,IF(G143&lt;BondCalculator!$B$12,G143+E144,BondCalculator!$B$12))</f>
        <v>25804.709809401418</v>
      </c>
      <c r="E144" s="20">
        <f>C144*BondCalculator!$B$5/12</f>
        <v>15443.528583052364</v>
      </c>
      <c r="F144" s="20">
        <f t="shared" si="21"/>
        <v>10361.181226349054</v>
      </c>
      <c r="G144" s="20">
        <f t="shared" si="22"/>
        <v>1674387.3914702726</v>
      </c>
      <c r="H144" s="26">
        <f t="shared" si="23"/>
        <v>0.66975495658810902</v>
      </c>
      <c r="J144" s="22">
        <f t="shared" si="24"/>
        <v>1120178.4558309771</v>
      </c>
      <c r="K144" s="22">
        <f>IF(N143=0,0,IF(N143&lt;BondCalculator!$B$12+BondCalculator!$B$7,N143+L144,BondCalculator!$B$12+BondCalculator!$B$7))</f>
        <v>27804.709809401418</v>
      </c>
      <c r="L144" s="22">
        <f>J144*BondCalculator!$B$5/12</f>
        <v>10268.302511783957</v>
      </c>
      <c r="M144" s="22">
        <f t="shared" si="25"/>
        <v>17536.407297617461</v>
      </c>
      <c r="N144" s="22">
        <f t="shared" si="18"/>
        <v>1102642.0485333595</v>
      </c>
      <c r="P144" s="22">
        <f t="shared" si="19"/>
        <v>5175.2260712684074</v>
      </c>
      <c r="Q144" s="23">
        <f>-PV(BondCalculator!$B$9/12,B144,0,1,0)</f>
        <v>0.4949773113816836</v>
      </c>
      <c r="S144" s="24">
        <f t="shared" si="20"/>
        <v>2561.6194865488296</v>
      </c>
    </row>
    <row r="145" spans="1:19" ht="16.05" customHeight="1" x14ac:dyDescent="0.25">
      <c r="A145" s="19" t="s">
        <v>109</v>
      </c>
      <c r="B145" s="35">
        <v>142</v>
      </c>
      <c r="C145" s="20">
        <f t="shared" si="26"/>
        <v>1674387.3914702726</v>
      </c>
      <c r="D145" s="20">
        <f>IF(G144=0,0,IF(G144&lt;BondCalculator!$B$12,G144+E145,BondCalculator!$B$12))</f>
        <v>25804.709809401418</v>
      </c>
      <c r="E145" s="20">
        <f>C145*BondCalculator!$B$5/12</f>
        <v>15348.551088477499</v>
      </c>
      <c r="F145" s="20">
        <f t="shared" si="21"/>
        <v>10456.158720923919</v>
      </c>
      <c r="G145" s="20">
        <f t="shared" si="22"/>
        <v>1663931.2327493487</v>
      </c>
      <c r="H145" s="26">
        <f t="shared" si="23"/>
        <v>0.66557249309973954</v>
      </c>
      <c r="J145" s="22">
        <f t="shared" si="24"/>
        <v>1102642.0485333595</v>
      </c>
      <c r="K145" s="22">
        <f>IF(N144=0,0,IF(N144&lt;BondCalculator!$B$12+BondCalculator!$B$7,N144+L145,BondCalculator!$B$12+BondCalculator!$B$7))</f>
        <v>27804.709809401418</v>
      </c>
      <c r="L145" s="22">
        <f>J145*BondCalculator!$B$5/12</f>
        <v>10107.552111555795</v>
      </c>
      <c r="M145" s="22">
        <f t="shared" si="25"/>
        <v>17697.157697845621</v>
      </c>
      <c r="N145" s="22">
        <f t="shared" si="18"/>
        <v>1084944.8908355138</v>
      </c>
      <c r="P145" s="22">
        <f t="shared" si="19"/>
        <v>5240.9989769217045</v>
      </c>
      <c r="Q145" s="23">
        <f>-PV(BondCalculator!$B$9/12,B145,0,1,0)</f>
        <v>0.49251473769321757</v>
      </c>
      <c r="S145" s="24">
        <f t="shared" si="20"/>
        <v>2581.2692363690148</v>
      </c>
    </row>
    <row r="146" spans="1:19" ht="16.05" customHeight="1" x14ac:dyDescent="0.25">
      <c r="A146" s="19" t="s">
        <v>109</v>
      </c>
      <c r="B146" s="35">
        <v>143</v>
      </c>
      <c r="C146" s="20">
        <f t="shared" si="26"/>
        <v>1663931.2327493487</v>
      </c>
      <c r="D146" s="20">
        <f>IF(G145=0,0,IF(G145&lt;BondCalculator!$B$12,G145+E146,BondCalculator!$B$12))</f>
        <v>25804.709809401418</v>
      </c>
      <c r="E146" s="20">
        <f>C146*BondCalculator!$B$5/12</f>
        <v>15252.70296686903</v>
      </c>
      <c r="F146" s="20">
        <f t="shared" si="21"/>
        <v>10552.006842532388</v>
      </c>
      <c r="G146" s="20">
        <f t="shared" si="22"/>
        <v>1653379.2259068163</v>
      </c>
      <c r="H146" s="26">
        <f t="shared" si="23"/>
        <v>0.66135169036272656</v>
      </c>
      <c r="J146" s="22">
        <f t="shared" si="24"/>
        <v>1084944.8908355138</v>
      </c>
      <c r="K146" s="22">
        <f>IF(N145=0,0,IF(N145&lt;BondCalculator!$B$12+BondCalculator!$B$7,N145+L146,BondCalculator!$B$12+BondCalculator!$B$7))</f>
        <v>27804.709809401418</v>
      </c>
      <c r="L146" s="22">
        <f>J146*BondCalculator!$B$5/12</f>
        <v>9945.3281659922104</v>
      </c>
      <c r="M146" s="22">
        <f t="shared" si="25"/>
        <v>17859.381643409208</v>
      </c>
      <c r="N146" s="22">
        <f t="shared" si="18"/>
        <v>1067085.5091921047</v>
      </c>
      <c r="P146" s="22">
        <f t="shared" si="19"/>
        <v>5307.3748008768198</v>
      </c>
      <c r="Q146" s="23">
        <f>-PV(BondCalculator!$B$9/12,B146,0,1,0)</f>
        <v>0.49006441561514197</v>
      </c>
      <c r="S146" s="24">
        <f t="shared" si="20"/>
        <v>2600.9555302422291</v>
      </c>
    </row>
    <row r="147" spans="1:19" ht="16.05" customHeight="1" x14ac:dyDescent="0.25">
      <c r="A147" s="19" t="s">
        <v>109</v>
      </c>
      <c r="B147" s="35">
        <v>144</v>
      </c>
      <c r="C147" s="20">
        <f t="shared" si="26"/>
        <v>1653379.2259068163</v>
      </c>
      <c r="D147" s="20">
        <f>IF(G146=0,0,IF(G146&lt;BondCalculator!$B$12,G146+E147,BondCalculator!$B$12))</f>
        <v>25804.709809401418</v>
      </c>
      <c r="E147" s="20">
        <f>C147*BondCalculator!$B$5/12</f>
        <v>15155.976237479148</v>
      </c>
      <c r="F147" s="20">
        <f t="shared" si="21"/>
        <v>10648.73357192227</v>
      </c>
      <c r="G147" s="20">
        <f t="shared" si="22"/>
        <v>1642730.4923348941</v>
      </c>
      <c r="H147" s="26">
        <f t="shared" si="23"/>
        <v>0.65709219693395771</v>
      </c>
      <c r="J147" s="22">
        <f t="shared" si="24"/>
        <v>1067085.5091921047</v>
      </c>
      <c r="K147" s="22">
        <f>IF(N146=0,0,IF(N146&lt;BondCalculator!$B$12+BondCalculator!$B$7,N146+L147,BondCalculator!$B$12+BondCalculator!$B$7))</f>
        <v>27804.709809401418</v>
      </c>
      <c r="L147" s="22">
        <f>J147*BondCalculator!$B$5/12</f>
        <v>9781.6171675942933</v>
      </c>
      <c r="M147" s="22">
        <f t="shared" si="25"/>
        <v>18023.092641807125</v>
      </c>
      <c r="N147" s="22">
        <f t="shared" si="18"/>
        <v>1049062.4165502975</v>
      </c>
      <c r="P147" s="22">
        <f t="shared" si="19"/>
        <v>5374.3590698848548</v>
      </c>
      <c r="Q147" s="23">
        <f>-PV(BondCalculator!$B$9/12,B147,0,1,0)</f>
        <v>0.4876262841941712</v>
      </c>
      <c r="S147" s="24">
        <f t="shared" si="20"/>
        <v>2620.6787431731937</v>
      </c>
    </row>
    <row r="148" spans="1:19" ht="16.05" customHeight="1" x14ac:dyDescent="0.25">
      <c r="A148" s="19" t="s">
        <v>110</v>
      </c>
      <c r="B148" s="35">
        <v>145</v>
      </c>
      <c r="C148" s="20">
        <f t="shared" si="26"/>
        <v>1642730.4923348941</v>
      </c>
      <c r="D148" s="20">
        <f>IF(G147=0,0,IF(G147&lt;BondCalculator!$B$12,G147+E148,BondCalculator!$B$12))</f>
        <v>25804.709809401418</v>
      </c>
      <c r="E148" s="20">
        <f>C148*BondCalculator!$B$5/12</f>
        <v>15058.362846403195</v>
      </c>
      <c r="F148" s="20">
        <f t="shared" si="21"/>
        <v>10746.346962998223</v>
      </c>
      <c r="G148" s="20">
        <f t="shared" si="22"/>
        <v>1631984.145371896</v>
      </c>
      <c r="H148" s="26">
        <f t="shared" si="23"/>
        <v>0.65279365814875834</v>
      </c>
      <c r="J148" s="22">
        <f t="shared" si="24"/>
        <v>1049062.4165502975</v>
      </c>
      <c r="K148" s="22">
        <f>IF(N147=0,0,IF(N147&lt;BondCalculator!$B$12+BondCalculator!$B$7,N147+L148,BondCalculator!$B$12+BondCalculator!$B$7))</f>
        <v>27804.709809401418</v>
      </c>
      <c r="L148" s="22">
        <f>J148*BondCalculator!$B$5/12</f>
        <v>9616.4054850443936</v>
      </c>
      <c r="M148" s="22">
        <f t="shared" si="25"/>
        <v>18188.304324357025</v>
      </c>
      <c r="N148" s="22">
        <f t="shared" si="18"/>
        <v>1030874.1122259405</v>
      </c>
      <c r="P148" s="22">
        <f t="shared" si="19"/>
        <v>5441.9573613588018</v>
      </c>
      <c r="Q148" s="23">
        <f>-PV(BondCalculator!$B$9/12,B148,0,1,0)</f>
        <v>0.48520028278026978</v>
      </c>
      <c r="S148" s="24">
        <f t="shared" si="20"/>
        <v>2640.4392506094614</v>
      </c>
    </row>
    <row r="149" spans="1:19" ht="16.05" customHeight="1" x14ac:dyDescent="0.25">
      <c r="A149" s="19" t="s">
        <v>110</v>
      </c>
      <c r="B149" s="35">
        <v>146</v>
      </c>
      <c r="C149" s="20">
        <f t="shared" si="26"/>
        <v>1631984.145371896</v>
      </c>
      <c r="D149" s="20">
        <f>IF(G148=0,0,IF(G148&lt;BondCalculator!$B$12,G148+E149,BondCalculator!$B$12))</f>
        <v>25804.709809401418</v>
      </c>
      <c r="E149" s="20">
        <f>C149*BondCalculator!$B$5/12</f>
        <v>14959.854665909048</v>
      </c>
      <c r="F149" s="20">
        <f t="shared" si="21"/>
        <v>10844.85514349237</v>
      </c>
      <c r="G149" s="20">
        <f t="shared" si="22"/>
        <v>1621139.2902284036</v>
      </c>
      <c r="H149" s="26">
        <f t="shared" si="23"/>
        <v>0.64845571609136143</v>
      </c>
      <c r="J149" s="22">
        <f t="shared" si="24"/>
        <v>1030874.1122259405</v>
      </c>
      <c r="K149" s="22">
        <f>IF(N148=0,0,IF(N148&lt;BondCalculator!$B$12+BondCalculator!$B$7,N148+L149,BondCalculator!$B$12+BondCalculator!$B$7))</f>
        <v>27804.709809401418</v>
      </c>
      <c r="L149" s="22">
        <f>J149*BondCalculator!$B$5/12</f>
        <v>9449.6793620711214</v>
      </c>
      <c r="M149" s="22">
        <f t="shared" si="25"/>
        <v>18355.030447330297</v>
      </c>
      <c r="N149" s="22">
        <f t="shared" si="18"/>
        <v>1012519.0817786101</v>
      </c>
      <c r="P149" s="22">
        <f t="shared" si="19"/>
        <v>5510.1753038379265</v>
      </c>
      <c r="Q149" s="23">
        <f>-PV(BondCalculator!$B$9/12,B149,0,1,0)</f>
        <v>0.48278635102514433</v>
      </c>
      <c r="S149" s="24">
        <f t="shared" si="20"/>
        <v>2660.2374284487787</v>
      </c>
    </row>
    <row r="150" spans="1:19" ht="16.05" customHeight="1" x14ac:dyDescent="0.25">
      <c r="A150" s="19" t="s">
        <v>110</v>
      </c>
      <c r="B150" s="35">
        <v>147</v>
      </c>
      <c r="C150" s="20">
        <f t="shared" si="26"/>
        <v>1621139.2902284036</v>
      </c>
      <c r="D150" s="20">
        <f>IF(G149=0,0,IF(G149&lt;BondCalculator!$B$12,G149+E150,BondCalculator!$B$12))</f>
        <v>25804.709809401418</v>
      </c>
      <c r="E150" s="20">
        <f>C150*BondCalculator!$B$5/12</f>
        <v>14860.443493760367</v>
      </c>
      <c r="F150" s="20">
        <f t="shared" si="21"/>
        <v>10944.266315641051</v>
      </c>
      <c r="G150" s="20">
        <f t="shared" si="22"/>
        <v>1610195.0239127625</v>
      </c>
      <c r="H150" s="26">
        <f t="shared" si="23"/>
        <v>0.64407800956510497</v>
      </c>
      <c r="J150" s="22">
        <f t="shared" si="24"/>
        <v>1012519.0817786101</v>
      </c>
      <c r="K150" s="22">
        <f>IF(N149=0,0,IF(N149&lt;BondCalculator!$B$12+BondCalculator!$B$7,N149+L150,BondCalculator!$B$12+BondCalculator!$B$7))</f>
        <v>27804.709809401418</v>
      </c>
      <c r="L150" s="22">
        <f>J150*BondCalculator!$B$5/12</f>
        <v>9281.4249163039258</v>
      </c>
      <c r="M150" s="22">
        <f t="shared" si="25"/>
        <v>18523.284893097494</v>
      </c>
      <c r="N150" s="22">
        <f t="shared" si="18"/>
        <v>993995.79688551265</v>
      </c>
      <c r="P150" s="22">
        <f t="shared" si="19"/>
        <v>5579.0185774564416</v>
      </c>
      <c r="Q150" s="23">
        <f>-PV(BondCalculator!$B$9/12,B150,0,1,0)</f>
        <v>0.48038442888074068</v>
      </c>
      <c r="S150" s="24">
        <f t="shared" si="20"/>
        <v>2680.0736530464551</v>
      </c>
    </row>
    <row r="151" spans="1:19" ht="16.05" customHeight="1" x14ac:dyDescent="0.25">
      <c r="A151" s="19" t="s">
        <v>110</v>
      </c>
      <c r="B151" s="35">
        <v>148</v>
      </c>
      <c r="C151" s="20">
        <f t="shared" si="26"/>
        <v>1610195.0239127625</v>
      </c>
      <c r="D151" s="20">
        <f>IF(G150=0,0,IF(G150&lt;BondCalculator!$B$12,G150+E151,BondCalculator!$B$12))</f>
        <v>25804.709809401418</v>
      </c>
      <c r="E151" s="20">
        <f>C151*BondCalculator!$B$5/12</f>
        <v>14760.121052533657</v>
      </c>
      <c r="F151" s="20">
        <f t="shared" si="21"/>
        <v>11044.588756867761</v>
      </c>
      <c r="G151" s="20">
        <f t="shared" si="22"/>
        <v>1599150.4351558948</v>
      </c>
      <c r="H151" s="26">
        <f t="shared" si="23"/>
        <v>0.63966017406235798</v>
      </c>
      <c r="J151" s="22">
        <f t="shared" si="24"/>
        <v>993995.79688551265</v>
      </c>
      <c r="K151" s="22">
        <f>IF(N150=0,0,IF(N150&lt;BondCalculator!$B$12+BondCalculator!$B$7,N150+L151,BondCalculator!$B$12+BondCalculator!$B$7))</f>
        <v>27804.709809401418</v>
      </c>
      <c r="L151" s="22">
        <f>J151*BondCalculator!$B$5/12</f>
        <v>9111.6281381171993</v>
      </c>
      <c r="M151" s="22">
        <f t="shared" si="25"/>
        <v>18693.081671284221</v>
      </c>
      <c r="N151" s="22">
        <f t="shared" si="18"/>
        <v>975302.71521422849</v>
      </c>
      <c r="P151" s="22">
        <f t="shared" si="19"/>
        <v>5648.492914416458</v>
      </c>
      <c r="Q151" s="23">
        <f>-PV(BondCalculator!$B$9/12,B151,0,1,0)</f>
        <v>0.47799445659775197</v>
      </c>
      <c r="S151" s="24">
        <f t="shared" si="20"/>
        <v>2699.948301222747</v>
      </c>
    </row>
    <row r="152" spans="1:19" ht="16.05" customHeight="1" x14ac:dyDescent="0.25">
      <c r="A152" s="19" t="s">
        <v>110</v>
      </c>
      <c r="B152" s="35">
        <v>149</v>
      </c>
      <c r="C152" s="20">
        <f t="shared" si="26"/>
        <v>1599150.4351558948</v>
      </c>
      <c r="D152" s="20">
        <f>IF(G151=0,0,IF(G151&lt;BondCalculator!$B$12,G151+E152,BondCalculator!$B$12))</f>
        <v>25804.709809401418</v>
      </c>
      <c r="E152" s="20">
        <f>C152*BondCalculator!$B$5/12</f>
        <v>14658.878988929036</v>
      </c>
      <c r="F152" s="20">
        <f t="shared" si="21"/>
        <v>11145.830820472382</v>
      </c>
      <c r="G152" s="20">
        <f t="shared" si="22"/>
        <v>1588004.6043354224</v>
      </c>
      <c r="H152" s="26">
        <f t="shared" si="23"/>
        <v>0.63520184173416894</v>
      </c>
      <c r="J152" s="22">
        <f t="shared" si="24"/>
        <v>975302.71521422849</v>
      </c>
      <c r="K152" s="22">
        <f>IF(N151=0,0,IF(N151&lt;BondCalculator!$B$12+BondCalculator!$B$7,N151+L152,BondCalculator!$B$12+BondCalculator!$B$7))</f>
        <v>27804.709809401418</v>
      </c>
      <c r="L152" s="22">
        <f>J152*BondCalculator!$B$5/12</f>
        <v>8940.2748894637607</v>
      </c>
      <c r="M152" s="22">
        <f t="shared" si="25"/>
        <v>18864.434919937659</v>
      </c>
      <c r="N152" s="22">
        <f t="shared" si="18"/>
        <v>956438.28029429086</v>
      </c>
      <c r="P152" s="22">
        <f t="shared" si="19"/>
        <v>5718.6040994652758</v>
      </c>
      <c r="Q152" s="23">
        <f>-PV(BondCalculator!$B$9/12,B152,0,1,0)</f>
        <v>0.47561637472413137</v>
      </c>
      <c r="S152" s="24">
        <f t="shared" si="20"/>
        <v>2719.8617502702305</v>
      </c>
    </row>
    <row r="153" spans="1:19" ht="16.05" customHeight="1" x14ac:dyDescent="0.25">
      <c r="A153" s="19" t="s">
        <v>110</v>
      </c>
      <c r="B153" s="35">
        <v>150</v>
      </c>
      <c r="C153" s="20">
        <f t="shared" si="26"/>
        <v>1588004.6043354224</v>
      </c>
      <c r="D153" s="20">
        <f>IF(G152=0,0,IF(G152&lt;BondCalculator!$B$12,G152+E153,BondCalculator!$B$12))</f>
        <v>25804.709809401418</v>
      </c>
      <c r="E153" s="20">
        <f>C153*BondCalculator!$B$5/12</f>
        <v>14556.708873074705</v>
      </c>
      <c r="F153" s="20">
        <f t="shared" si="21"/>
        <v>11248.000936326713</v>
      </c>
      <c r="G153" s="20">
        <f t="shared" si="22"/>
        <v>1576756.6033990956</v>
      </c>
      <c r="H153" s="26">
        <f t="shared" si="23"/>
        <v>0.63070264135963827</v>
      </c>
      <c r="J153" s="22">
        <f t="shared" si="24"/>
        <v>956438.28029429086</v>
      </c>
      <c r="K153" s="22">
        <f>IF(N152=0,0,IF(N152&lt;BondCalculator!$B$12+BondCalculator!$B$7,N152+L153,BondCalculator!$B$12+BondCalculator!$B$7))</f>
        <v>27804.709809401418</v>
      </c>
      <c r="L153" s="22">
        <f>J153*BondCalculator!$B$5/12</f>
        <v>8767.3509026976662</v>
      </c>
      <c r="M153" s="22">
        <f t="shared" si="25"/>
        <v>19037.358906703754</v>
      </c>
      <c r="N153" s="22">
        <f t="shared" si="18"/>
        <v>937400.92138758709</v>
      </c>
      <c r="P153" s="22">
        <f t="shared" si="19"/>
        <v>5789.3579703770392</v>
      </c>
      <c r="Q153" s="23">
        <f>-PV(BondCalculator!$B$9/12,B153,0,1,0)</f>
        <v>0.47325012410361339</v>
      </c>
      <c r="S153" s="24">
        <f t="shared" si="20"/>
        <v>2739.8143779611773</v>
      </c>
    </row>
    <row r="154" spans="1:19" ht="16.05" customHeight="1" x14ac:dyDescent="0.25">
      <c r="A154" s="19" t="s">
        <v>110</v>
      </c>
      <c r="B154" s="35">
        <v>151</v>
      </c>
      <c r="C154" s="20">
        <f t="shared" si="26"/>
        <v>1576756.6033990956</v>
      </c>
      <c r="D154" s="20">
        <f>IF(G153=0,0,IF(G153&lt;BondCalculator!$B$12,G153+E154,BondCalculator!$B$12))</f>
        <v>25804.709809401418</v>
      </c>
      <c r="E154" s="20">
        <f>C154*BondCalculator!$B$5/12</f>
        <v>14453.602197825043</v>
      </c>
      <c r="F154" s="20">
        <f t="shared" si="21"/>
        <v>11351.107611576375</v>
      </c>
      <c r="G154" s="20">
        <f t="shared" si="22"/>
        <v>1565405.4957875193</v>
      </c>
      <c r="H154" s="26">
        <f t="shared" si="23"/>
        <v>0.62616219831500775</v>
      </c>
      <c r="J154" s="22">
        <f t="shared" si="24"/>
        <v>937400.92138758709</v>
      </c>
      <c r="K154" s="22">
        <f>IF(N153=0,0,IF(N153&lt;BondCalculator!$B$12+BondCalculator!$B$7,N153+L154,BondCalculator!$B$12+BondCalculator!$B$7))</f>
        <v>27804.709809401418</v>
      </c>
      <c r="L154" s="22">
        <f>J154*BondCalculator!$B$5/12</f>
        <v>8592.8417793862154</v>
      </c>
      <c r="M154" s="22">
        <f t="shared" si="25"/>
        <v>19211.868030015205</v>
      </c>
      <c r="N154" s="22">
        <f t="shared" si="18"/>
        <v>918189.05335757183</v>
      </c>
      <c r="P154" s="22">
        <f t="shared" si="19"/>
        <v>5860.7604184388274</v>
      </c>
      <c r="Q154" s="23">
        <f>-PV(BondCalculator!$B$9/12,B154,0,1,0)</f>
        <v>0.47089564587424226</v>
      </c>
      <c r="S154" s="24">
        <f t="shared" si="20"/>
        <v>2759.8065625549461</v>
      </c>
    </row>
    <row r="155" spans="1:19" ht="16.05" customHeight="1" x14ac:dyDescent="0.25">
      <c r="A155" s="19" t="s">
        <v>110</v>
      </c>
      <c r="B155" s="35">
        <v>152</v>
      </c>
      <c r="C155" s="20">
        <f t="shared" si="26"/>
        <v>1565405.4957875193</v>
      </c>
      <c r="D155" s="20">
        <f>IF(G154=0,0,IF(G154&lt;BondCalculator!$B$12,G154+E155,BondCalculator!$B$12))</f>
        <v>25804.709809401418</v>
      </c>
      <c r="E155" s="20">
        <f>C155*BondCalculator!$B$5/12</f>
        <v>14349.550378052261</v>
      </c>
      <c r="F155" s="20">
        <f t="shared" si="21"/>
        <v>11455.159431349157</v>
      </c>
      <c r="G155" s="20">
        <f t="shared" si="22"/>
        <v>1553950.33635617</v>
      </c>
      <c r="H155" s="26">
        <f t="shared" si="23"/>
        <v>0.62158013454246797</v>
      </c>
      <c r="J155" s="22">
        <f t="shared" si="24"/>
        <v>918189.05335757183</v>
      </c>
      <c r="K155" s="22">
        <f>IF(N154=0,0,IF(N154&lt;BondCalculator!$B$12+BondCalculator!$B$7,N154+L155,BondCalculator!$B$12+BondCalculator!$B$7))</f>
        <v>27804.709809401418</v>
      </c>
      <c r="L155" s="22">
        <f>J155*BondCalculator!$B$5/12</f>
        <v>8416.7329891110749</v>
      </c>
      <c r="M155" s="22">
        <f t="shared" si="25"/>
        <v>19387.976820290343</v>
      </c>
      <c r="N155" s="22">
        <f t="shared" si="18"/>
        <v>898801.07653728151</v>
      </c>
      <c r="P155" s="22">
        <f t="shared" si="19"/>
        <v>5932.8173889411864</v>
      </c>
      <c r="Q155" s="23">
        <f>-PV(BondCalculator!$B$9/12,B155,0,1,0)</f>
        <v>0.46855288146690766</v>
      </c>
      <c r="S155" s="24">
        <f t="shared" si="20"/>
        <v>2779.8386828053681</v>
      </c>
    </row>
    <row r="156" spans="1:19" ht="16.05" customHeight="1" x14ac:dyDescent="0.25">
      <c r="A156" s="19" t="s">
        <v>110</v>
      </c>
      <c r="B156" s="35">
        <v>153</v>
      </c>
      <c r="C156" s="20">
        <f t="shared" si="26"/>
        <v>1553950.33635617</v>
      </c>
      <c r="D156" s="20">
        <f>IF(G155=0,0,IF(G155&lt;BondCalculator!$B$12,G155+E156,BondCalculator!$B$12))</f>
        <v>25804.709809401418</v>
      </c>
      <c r="E156" s="20">
        <f>C156*BondCalculator!$B$5/12</f>
        <v>14244.544749931558</v>
      </c>
      <c r="F156" s="20">
        <f t="shared" si="21"/>
        <v>11560.16505946986</v>
      </c>
      <c r="G156" s="20">
        <f t="shared" si="22"/>
        <v>1542390.1712967001</v>
      </c>
      <c r="H156" s="26">
        <f t="shared" si="23"/>
        <v>0.61695606851868001</v>
      </c>
      <c r="J156" s="22">
        <f t="shared" si="24"/>
        <v>898801.07653728151</v>
      </c>
      <c r="K156" s="22">
        <f>IF(N155=0,0,IF(N155&lt;BondCalculator!$B$12+BondCalculator!$B$7,N155+L156,BondCalculator!$B$12+BondCalculator!$B$7))</f>
        <v>27804.709809401418</v>
      </c>
      <c r="L156" s="22">
        <f>J156*BondCalculator!$B$5/12</f>
        <v>8239.0098682584139</v>
      </c>
      <c r="M156" s="22">
        <f t="shared" si="25"/>
        <v>19565.699941143004</v>
      </c>
      <c r="N156" s="22">
        <f t="shared" si="18"/>
        <v>879235.37659613846</v>
      </c>
      <c r="P156" s="22">
        <f t="shared" si="19"/>
        <v>6005.5348816731439</v>
      </c>
      <c r="Q156" s="23">
        <f>-PV(BondCalculator!$B$9/12,B156,0,1,0)</f>
        <v>0.46622177260388836</v>
      </c>
      <c r="S156" s="24">
        <f t="shared" si="20"/>
        <v>2799.9111179681363</v>
      </c>
    </row>
    <row r="157" spans="1:19" ht="16.05" customHeight="1" x14ac:dyDescent="0.25">
      <c r="A157" s="19" t="s">
        <v>110</v>
      </c>
      <c r="B157" s="35">
        <v>154</v>
      </c>
      <c r="C157" s="20">
        <f t="shared" si="26"/>
        <v>1542390.1712967001</v>
      </c>
      <c r="D157" s="20">
        <f>IF(G156=0,0,IF(G156&lt;BondCalculator!$B$12,G156+E157,BondCalculator!$B$12))</f>
        <v>25804.709809401418</v>
      </c>
      <c r="E157" s="20">
        <f>C157*BondCalculator!$B$5/12</f>
        <v>14138.576570219751</v>
      </c>
      <c r="F157" s="20">
        <f t="shared" si="21"/>
        <v>11666.133239181667</v>
      </c>
      <c r="G157" s="20">
        <f t="shared" si="22"/>
        <v>1530724.0380575184</v>
      </c>
      <c r="H157" s="26">
        <f t="shared" si="23"/>
        <v>0.6122896152230074</v>
      </c>
      <c r="J157" s="22">
        <f t="shared" si="24"/>
        <v>879235.37659613846</v>
      </c>
      <c r="K157" s="22">
        <f>IF(N156=0,0,IF(N156&lt;BondCalculator!$B$12+BondCalculator!$B$7,N156+L157,BondCalculator!$B$12+BondCalculator!$B$7))</f>
        <v>27804.709809401418</v>
      </c>
      <c r="L157" s="22">
        <f>J157*BondCalculator!$B$5/12</f>
        <v>8059.6576187979363</v>
      </c>
      <c r="M157" s="22">
        <f t="shared" si="25"/>
        <v>19745.052190603481</v>
      </c>
      <c r="N157" s="22">
        <f t="shared" si="18"/>
        <v>859490.32440553501</v>
      </c>
      <c r="P157" s="22">
        <f t="shared" si="19"/>
        <v>6078.9189514218151</v>
      </c>
      <c r="Q157" s="23">
        <f>-PV(BondCalculator!$B$9/12,B157,0,1,0)</f>
        <v>0.46390226129740142</v>
      </c>
      <c r="S157" s="24">
        <f t="shared" si="20"/>
        <v>2820.0242478082082</v>
      </c>
    </row>
    <row r="158" spans="1:19" ht="16.05" customHeight="1" x14ac:dyDescent="0.25">
      <c r="A158" s="19" t="s">
        <v>110</v>
      </c>
      <c r="B158" s="35">
        <v>155</v>
      </c>
      <c r="C158" s="20">
        <f t="shared" si="26"/>
        <v>1530724.0380575184</v>
      </c>
      <c r="D158" s="20">
        <f>IF(G157=0,0,IF(G157&lt;BondCalculator!$B$12,G157+E158,BondCalculator!$B$12))</f>
        <v>25804.709809401418</v>
      </c>
      <c r="E158" s="20">
        <f>C158*BondCalculator!$B$5/12</f>
        <v>14031.637015527253</v>
      </c>
      <c r="F158" s="20">
        <f t="shared" si="21"/>
        <v>11773.072793874166</v>
      </c>
      <c r="G158" s="20">
        <f t="shared" si="22"/>
        <v>1518950.9652636442</v>
      </c>
      <c r="H158" s="26">
        <f t="shared" si="23"/>
        <v>0.60758038610545773</v>
      </c>
      <c r="J158" s="22">
        <f t="shared" si="24"/>
        <v>859490.32440553501</v>
      </c>
      <c r="K158" s="22">
        <f>IF(N157=0,0,IF(N157&lt;BondCalculator!$B$12+BondCalculator!$B$7,N157+L158,BondCalculator!$B$12+BondCalculator!$B$7))</f>
        <v>27804.709809401418</v>
      </c>
      <c r="L158" s="22">
        <f>J158*BondCalculator!$B$5/12</f>
        <v>7878.6613070507374</v>
      </c>
      <c r="M158" s="22">
        <f t="shared" si="25"/>
        <v>19926.048502350681</v>
      </c>
      <c r="N158" s="22">
        <f t="shared" si="18"/>
        <v>839564.27590318432</v>
      </c>
      <c r="P158" s="22">
        <f t="shared" si="19"/>
        <v>6152.9757084765151</v>
      </c>
      <c r="Q158" s="23">
        <f>-PV(BondCalculator!$B$9/12,B158,0,1,0)</f>
        <v>0.4615942898481607</v>
      </c>
      <c r="S158" s="24">
        <f t="shared" si="20"/>
        <v>2840.1784526072006</v>
      </c>
    </row>
    <row r="159" spans="1:19" ht="16.05" customHeight="1" x14ac:dyDescent="0.25">
      <c r="A159" s="19" t="s">
        <v>110</v>
      </c>
      <c r="B159" s="35">
        <v>156</v>
      </c>
      <c r="C159" s="20">
        <f t="shared" si="26"/>
        <v>1518950.9652636442</v>
      </c>
      <c r="D159" s="20">
        <f>IF(G158=0,0,IF(G158&lt;BondCalculator!$B$12,G158+E159,BondCalculator!$B$12))</f>
        <v>25804.709809401418</v>
      </c>
      <c r="E159" s="20">
        <f>C159*BondCalculator!$B$5/12</f>
        <v>13923.717181583406</v>
      </c>
      <c r="F159" s="20">
        <f t="shared" si="21"/>
        <v>11880.992627818012</v>
      </c>
      <c r="G159" s="20">
        <f t="shared" si="22"/>
        <v>1507069.9726358263</v>
      </c>
      <c r="H159" s="26">
        <f t="shared" si="23"/>
        <v>0.60282798905433055</v>
      </c>
      <c r="J159" s="22">
        <f t="shared" si="24"/>
        <v>839564.27590318432</v>
      </c>
      <c r="K159" s="22">
        <f>IF(N158=0,0,IF(N158&lt;BondCalculator!$B$12+BondCalculator!$B$7,N158+L159,BondCalculator!$B$12+BondCalculator!$B$7))</f>
        <v>27804.709809401418</v>
      </c>
      <c r="L159" s="22">
        <f>J159*BondCalculator!$B$5/12</f>
        <v>7696.005862445857</v>
      </c>
      <c r="M159" s="22">
        <f t="shared" si="25"/>
        <v>20108.70394695556</v>
      </c>
      <c r="N159" s="22">
        <f t="shared" si="18"/>
        <v>819455.5719562287</v>
      </c>
      <c r="P159" s="22">
        <f t="shared" si="19"/>
        <v>6227.7113191375493</v>
      </c>
      <c r="Q159" s="23">
        <f>-PV(BondCalculator!$B$9/12,B159,0,1,0)</f>
        <v>0.45929780084394106</v>
      </c>
      <c r="S159" s="24">
        <f t="shared" si="20"/>
        <v>2860.3741131707957</v>
      </c>
    </row>
    <row r="160" spans="1:19" ht="16.05" customHeight="1" x14ac:dyDescent="0.25">
      <c r="A160" s="19" t="s">
        <v>111</v>
      </c>
      <c r="B160" s="35">
        <v>157</v>
      </c>
      <c r="C160" s="20">
        <f t="shared" si="26"/>
        <v>1507069.9726358263</v>
      </c>
      <c r="D160" s="20">
        <f>IF(G159=0,0,IF(G159&lt;BondCalculator!$B$12,G159+E160,BondCalculator!$B$12))</f>
        <v>25804.709809401418</v>
      </c>
      <c r="E160" s="20">
        <f>C160*BondCalculator!$B$5/12</f>
        <v>13814.808082495074</v>
      </c>
      <c r="F160" s="20">
        <f t="shared" si="21"/>
        <v>11989.901726906344</v>
      </c>
      <c r="G160" s="20">
        <f t="shared" si="22"/>
        <v>1495080.0709089199</v>
      </c>
      <c r="H160" s="26">
        <f t="shared" si="23"/>
        <v>0.59803202836356795</v>
      </c>
      <c r="J160" s="22">
        <f t="shared" si="24"/>
        <v>819455.5719562287</v>
      </c>
      <c r="K160" s="22">
        <f>IF(N159=0,0,IF(N159&lt;BondCalculator!$B$12+BondCalculator!$B$7,N159+L160,BondCalculator!$B$12+BondCalculator!$B$7))</f>
        <v>27804.709809401418</v>
      </c>
      <c r="L160" s="22">
        <f>J160*BondCalculator!$B$5/12</f>
        <v>7511.6760762654303</v>
      </c>
      <c r="M160" s="22">
        <f t="shared" si="25"/>
        <v>20293.033733135988</v>
      </c>
      <c r="N160" s="22">
        <f t="shared" si="18"/>
        <v>799162.53822309268</v>
      </c>
      <c r="P160" s="22">
        <f t="shared" si="19"/>
        <v>6303.1320062296436</v>
      </c>
      <c r="Q160" s="23">
        <f>-PV(BondCalculator!$B$9/12,B160,0,1,0)</f>
        <v>0.45701273715815033</v>
      </c>
      <c r="S160" s="24">
        <f t="shared" si="20"/>
        <v>2880.611610836153</v>
      </c>
    </row>
    <row r="161" spans="1:19" ht="16.05" customHeight="1" x14ac:dyDescent="0.25">
      <c r="A161" s="19" t="s">
        <v>111</v>
      </c>
      <c r="B161" s="35">
        <v>158</v>
      </c>
      <c r="C161" s="20">
        <f t="shared" si="26"/>
        <v>1495080.0709089199</v>
      </c>
      <c r="D161" s="20">
        <f>IF(G160=0,0,IF(G160&lt;BondCalculator!$B$12,G160+E161,BondCalculator!$B$12))</f>
        <v>25804.709809401418</v>
      </c>
      <c r="E161" s="20">
        <f>C161*BondCalculator!$B$5/12</f>
        <v>13704.900649998432</v>
      </c>
      <c r="F161" s="20">
        <f t="shared" si="21"/>
        <v>12099.809159402987</v>
      </c>
      <c r="G161" s="20">
        <f t="shared" si="22"/>
        <v>1482980.2617495169</v>
      </c>
      <c r="H161" s="26">
        <f t="shared" si="23"/>
        <v>0.59319210469980677</v>
      </c>
      <c r="J161" s="22">
        <f t="shared" si="24"/>
        <v>799162.53822309268</v>
      </c>
      <c r="K161" s="22">
        <f>IF(N160=0,0,IF(N160&lt;BondCalculator!$B$12+BondCalculator!$B$7,N160+L161,BondCalculator!$B$12+BondCalculator!$B$7))</f>
        <v>27804.709809401418</v>
      </c>
      <c r="L161" s="22">
        <f>J161*BondCalculator!$B$5/12</f>
        <v>7325.6566003783491</v>
      </c>
      <c r="M161" s="22">
        <f t="shared" si="25"/>
        <v>20479.05320902307</v>
      </c>
      <c r="N161" s="22">
        <f t="shared" si="18"/>
        <v>778683.48501406959</v>
      </c>
      <c r="P161" s="22">
        <f t="shared" si="19"/>
        <v>6379.2440496200825</v>
      </c>
      <c r="Q161" s="23">
        <f>-PV(BondCalculator!$B$9/12,B161,0,1,0)</f>
        <v>0.45473904194840842</v>
      </c>
      <c r="S161" s="24">
        <f t="shared" si="20"/>
        <v>2900.8913274793213</v>
      </c>
    </row>
    <row r="162" spans="1:19" ht="16.05" customHeight="1" x14ac:dyDescent="0.25">
      <c r="A162" s="19" t="s">
        <v>111</v>
      </c>
      <c r="B162" s="35">
        <v>159</v>
      </c>
      <c r="C162" s="20">
        <f t="shared" si="26"/>
        <v>1482980.2617495169</v>
      </c>
      <c r="D162" s="20">
        <f>IF(G161=0,0,IF(G161&lt;BondCalculator!$B$12,G161+E162,BondCalculator!$B$12))</f>
        <v>25804.709809401418</v>
      </c>
      <c r="E162" s="20">
        <f>C162*BondCalculator!$B$5/12</f>
        <v>13593.985732703906</v>
      </c>
      <c r="F162" s="20">
        <f t="shared" si="21"/>
        <v>12210.724076697512</v>
      </c>
      <c r="G162" s="20">
        <f t="shared" si="22"/>
        <v>1470769.5376728193</v>
      </c>
      <c r="H162" s="26">
        <f t="shared" si="23"/>
        <v>0.58830781506912777</v>
      </c>
      <c r="J162" s="22">
        <f t="shared" si="24"/>
        <v>778683.48501406959</v>
      </c>
      <c r="K162" s="22">
        <f>IF(N161=0,0,IF(N161&lt;BondCalculator!$B$12+BondCalculator!$B$7,N161+L162,BondCalculator!$B$12+BondCalculator!$B$7))</f>
        <v>27804.709809401418</v>
      </c>
      <c r="L162" s="22">
        <f>J162*BondCalculator!$B$5/12</f>
        <v>7137.9319459623048</v>
      </c>
      <c r="M162" s="22">
        <f t="shared" si="25"/>
        <v>20666.777863439114</v>
      </c>
      <c r="N162" s="22">
        <f t="shared" si="18"/>
        <v>758016.70715063042</v>
      </c>
      <c r="P162" s="22">
        <f t="shared" si="19"/>
        <v>6456.0537867416015</v>
      </c>
      <c r="Q162" s="23">
        <f>-PV(BondCalculator!$B$9/12,B162,0,1,0)</f>
        <v>0.45247665865513281</v>
      </c>
      <c r="S162" s="24">
        <f t="shared" si="20"/>
        <v>2921.2136455226573</v>
      </c>
    </row>
    <row r="163" spans="1:19" ht="16.05" customHeight="1" x14ac:dyDescent="0.25">
      <c r="A163" s="19" t="s">
        <v>111</v>
      </c>
      <c r="B163" s="35">
        <v>160</v>
      </c>
      <c r="C163" s="20">
        <f t="shared" si="26"/>
        <v>1470769.5376728193</v>
      </c>
      <c r="D163" s="20">
        <f>IF(G162=0,0,IF(G162&lt;BondCalculator!$B$12,G162+E163,BondCalculator!$B$12))</f>
        <v>25804.709809401418</v>
      </c>
      <c r="E163" s="20">
        <f>C163*BondCalculator!$B$5/12</f>
        <v>13482.054095334177</v>
      </c>
      <c r="F163" s="20">
        <f t="shared" si="21"/>
        <v>12322.655714067241</v>
      </c>
      <c r="G163" s="20">
        <f t="shared" si="22"/>
        <v>1458446.8819587522</v>
      </c>
      <c r="H163" s="26">
        <f t="shared" si="23"/>
        <v>0.58337875278350082</v>
      </c>
      <c r="J163" s="22">
        <f t="shared" si="24"/>
        <v>758016.70715063042</v>
      </c>
      <c r="K163" s="22">
        <f>IF(N162=0,0,IF(N162&lt;BondCalculator!$B$12+BondCalculator!$B$7,N162+L163,BondCalculator!$B$12+BondCalculator!$B$7))</f>
        <v>27804.709809401418</v>
      </c>
      <c r="L163" s="22">
        <f>J163*BondCalculator!$B$5/12</f>
        <v>6948.4864822141126</v>
      </c>
      <c r="M163" s="22">
        <f t="shared" si="25"/>
        <v>20856.223327187305</v>
      </c>
      <c r="N163" s="22">
        <f t="shared" si="18"/>
        <v>737160.48382344306</v>
      </c>
      <c r="P163" s="22">
        <f t="shared" si="19"/>
        <v>6533.5676131200644</v>
      </c>
      <c r="Q163" s="23">
        <f>-PV(BondCalculator!$B$9/12,B163,0,1,0)</f>
        <v>0.45022553100013224</v>
      </c>
      <c r="S163" s="24">
        <f t="shared" si="20"/>
        <v>2941.5789479422474</v>
      </c>
    </row>
    <row r="164" spans="1:19" ht="16.05" customHeight="1" x14ac:dyDescent="0.25">
      <c r="A164" s="19" t="s">
        <v>111</v>
      </c>
      <c r="B164" s="35">
        <v>161</v>
      </c>
      <c r="C164" s="20">
        <f t="shared" si="26"/>
        <v>1458446.8819587522</v>
      </c>
      <c r="D164" s="20">
        <f>IF(G163=0,0,IF(G163&lt;BondCalculator!$B$12,G163+E164,BondCalculator!$B$12))</f>
        <v>25804.709809401418</v>
      </c>
      <c r="E164" s="20">
        <f>C164*BondCalculator!$B$5/12</f>
        <v>13369.096417955227</v>
      </c>
      <c r="F164" s="20">
        <f t="shared" si="21"/>
        <v>12435.613391446192</v>
      </c>
      <c r="G164" s="20">
        <f t="shared" si="22"/>
        <v>1446011.268567306</v>
      </c>
      <c r="H164" s="26">
        <f t="shared" si="23"/>
        <v>0.5784045074269224</v>
      </c>
      <c r="J164" s="22">
        <f t="shared" si="24"/>
        <v>737160.48382344306</v>
      </c>
      <c r="K164" s="22">
        <f>IF(N163=0,0,IF(N163&lt;BondCalculator!$B$12+BondCalculator!$B$7,N163+L164,BondCalculator!$B$12+BondCalculator!$B$7))</f>
        <v>27804.709809401418</v>
      </c>
      <c r="L164" s="22">
        <f>J164*BondCalculator!$B$5/12</f>
        <v>6757.3044350482278</v>
      </c>
      <c r="M164" s="22">
        <f t="shared" si="25"/>
        <v>21047.405374353191</v>
      </c>
      <c r="N164" s="22">
        <f t="shared" si="18"/>
        <v>716113.0784490899</v>
      </c>
      <c r="P164" s="22">
        <f t="shared" si="19"/>
        <v>6611.7919829069988</v>
      </c>
      <c r="Q164" s="23">
        <f>-PV(BondCalculator!$B$9/12,B164,0,1,0)</f>
        <v>0.44798560298520629</v>
      </c>
      <c r="S164" s="24">
        <f t="shared" si="20"/>
        <v>2961.9876182753446</v>
      </c>
    </row>
    <row r="165" spans="1:19" ht="16.05" customHeight="1" x14ac:dyDescent="0.25">
      <c r="A165" s="19" t="s">
        <v>111</v>
      </c>
      <c r="B165" s="35">
        <v>162</v>
      </c>
      <c r="C165" s="20">
        <f t="shared" si="26"/>
        <v>1446011.268567306</v>
      </c>
      <c r="D165" s="20">
        <f>IF(G164=0,0,IF(G164&lt;BondCalculator!$B$12,G164+E165,BondCalculator!$B$12))</f>
        <v>25804.709809401418</v>
      </c>
      <c r="E165" s="20">
        <f>C165*BondCalculator!$B$5/12</f>
        <v>13255.103295200306</v>
      </c>
      <c r="F165" s="20">
        <f t="shared" si="21"/>
        <v>12549.606514201112</v>
      </c>
      <c r="G165" s="20">
        <f t="shared" si="22"/>
        <v>1433461.662053105</v>
      </c>
      <c r="H165" s="26">
        <f t="shared" si="23"/>
        <v>0.57338466482124195</v>
      </c>
      <c r="J165" s="22">
        <f t="shared" si="24"/>
        <v>716113.0784490899</v>
      </c>
      <c r="K165" s="22">
        <f>IF(N164=0,0,IF(N164&lt;BondCalculator!$B$12+BondCalculator!$B$7,N164+L165,BondCalculator!$B$12+BondCalculator!$B$7))</f>
        <v>27804.709809401418</v>
      </c>
      <c r="L165" s="22">
        <f>J165*BondCalculator!$B$5/12</f>
        <v>6564.3698857833233</v>
      </c>
      <c r="M165" s="22">
        <f t="shared" si="25"/>
        <v>21240.339923618096</v>
      </c>
      <c r="N165" s="22">
        <f t="shared" si="18"/>
        <v>694872.73852547177</v>
      </c>
      <c r="P165" s="22">
        <f t="shared" si="19"/>
        <v>6690.7334094169828</v>
      </c>
      <c r="Q165" s="23">
        <f>-PV(BondCalculator!$B$9/12,B165,0,1,0)</f>
        <v>0.44575681889075258</v>
      </c>
      <c r="S165" s="24">
        <f t="shared" si="20"/>
        <v>2982.4400406277937</v>
      </c>
    </row>
    <row r="166" spans="1:19" ht="16.05" customHeight="1" x14ac:dyDescent="0.25">
      <c r="A166" s="19" t="s">
        <v>111</v>
      </c>
      <c r="B166" s="35">
        <v>163</v>
      </c>
      <c r="C166" s="20">
        <f t="shared" si="26"/>
        <v>1433461.662053105</v>
      </c>
      <c r="D166" s="20">
        <f>IF(G165=0,0,IF(G165&lt;BondCalculator!$B$12,G165+E166,BondCalculator!$B$12))</f>
        <v>25804.709809401418</v>
      </c>
      <c r="E166" s="20">
        <f>C166*BondCalculator!$B$5/12</f>
        <v>13140.065235486794</v>
      </c>
      <c r="F166" s="20">
        <f t="shared" si="21"/>
        <v>12664.644573914624</v>
      </c>
      <c r="G166" s="20">
        <f t="shared" si="22"/>
        <v>1420797.0174791904</v>
      </c>
      <c r="H166" s="26">
        <f t="shared" si="23"/>
        <v>0.56831880699167614</v>
      </c>
      <c r="J166" s="22">
        <f t="shared" si="24"/>
        <v>694872.73852547177</v>
      </c>
      <c r="K166" s="22">
        <f>IF(N165=0,0,IF(N165&lt;BondCalculator!$B$12+BondCalculator!$B$7,N165+L166,BondCalculator!$B$12+BondCalculator!$B$7))</f>
        <v>27804.709809401418</v>
      </c>
      <c r="L166" s="22">
        <f>J166*BondCalculator!$B$5/12</f>
        <v>6369.6667698168249</v>
      </c>
      <c r="M166" s="22">
        <f t="shared" si="25"/>
        <v>21435.043039584594</v>
      </c>
      <c r="N166" s="22">
        <f t="shared" si="18"/>
        <v>673437.69548588712</v>
      </c>
      <c r="P166" s="22">
        <f t="shared" si="19"/>
        <v>6770.3984656699695</v>
      </c>
      <c r="Q166" s="23">
        <f>-PV(BondCalculator!$B$9/12,B166,0,1,0)</f>
        <v>0.44353912327438066</v>
      </c>
      <c r="S166" s="24">
        <f t="shared" si="20"/>
        <v>3002.9365996814704</v>
      </c>
    </row>
    <row r="167" spans="1:19" ht="16.05" customHeight="1" x14ac:dyDescent="0.25">
      <c r="A167" s="19" t="s">
        <v>111</v>
      </c>
      <c r="B167" s="35">
        <v>164</v>
      </c>
      <c r="C167" s="20">
        <f t="shared" si="26"/>
        <v>1420797.0174791904</v>
      </c>
      <c r="D167" s="20">
        <f>IF(G166=0,0,IF(G166&lt;BondCalculator!$B$12,G166+E167,BondCalculator!$B$12))</f>
        <v>25804.709809401418</v>
      </c>
      <c r="E167" s="20">
        <f>C167*BondCalculator!$B$5/12</f>
        <v>13023.972660225911</v>
      </c>
      <c r="F167" s="20">
        <f t="shared" si="21"/>
        <v>12780.737149175508</v>
      </c>
      <c r="G167" s="20">
        <f t="shared" si="22"/>
        <v>1408016.2803300149</v>
      </c>
      <c r="H167" s="26">
        <f t="shared" si="23"/>
        <v>0.5632065121320059</v>
      </c>
      <c r="J167" s="22">
        <f t="shared" si="24"/>
        <v>673437.69548588712</v>
      </c>
      <c r="K167" s="22">
        <f>IF(N166=0,0,IF(N166&lt;BondCalculator!$B$12+BondCalculator!$B$7,N166+L167,BondCalculator!$B$12+BondCalculator!$B$7))</f>
        <v>27804.709809401418</v>
      </c>
      <c r="L167" s="22">
        <f>J167*BondCalculator!$B$5/12</f>
        <v>6173.178875287299</v>
      </c>
      <c r="M167" s="22">
        <f t="shared" si="25"/>
        <v>21631.530934114118</v>
      </c>
      <c r="N167" s="22">
        <f t="shared" si="18"/>
        <v>651806.16455177299</v>
      </c>
      <c r="P167" s="22">
        <f t="shared" si="19"/>
        <v>6850.7937849386117</v>
      </c>
      <c r="Q167" s="23">
        <f>-PV(BondCalculator!$B$9/12,B167,0,1,0)</f>
        <v>0.44133246096953316</v>
      </c>
      <c r="S167" s="24">
        <f t="shared" si="20"/>
        <v>3023.4776807017402</v>
      </c>
    </row>
    <row r="168" spans="1:19" ht="16.05" customHeight="1" x14ac:dyDescent="0.25">
      <c r="A168" s="19" t="s">
        <v>111</v>
      </c>
      <c r="B168" s="35">
        <v>165</v>
      </c>
      <c r="C168" s="20">
        <f t="shared" si="26"/>
        <v>1408016.2803300149</v>
      </c>
      <c r="D168" s="20">
        <f>IF(G167=0,0,IF(G167&lt;BondCalculator!$B$12,G167+E168,BondCalculator!$B$12))</f>
        <v>25804.709809401418</v>
      </c>
      <c r="E168" s="20">
        <f>C168*BondCalculator!$B$5/12</f>
        <v>12906.815903025135</v>
      </c>
      <c r="F168" s="20">
        <f t="shared" si="21"/>
        <v>12897.893906376283</v>
      </c>
      <c r="G168" s="20">
        <f t="shared" si="22"/>
        <v>1395118.3864236386</v>
      </c>
      <c r="H168" s="26">
        <f t="shared" si="23"/>
        <v>0.55804735456945542</v>
      </c>
      <c r="J168" s="22">
        <f t="shared" si="24"/>
        <v>651806.16455177299</v>
      </c>
      <c r="K168" s="22">
        <f>IF(N167=0,0,IF(N167&lt;BondCalculator!$B$12+BondCalculator!$B$7,N167+L168,BondCalculator!$B$12+BondCalculator!$B$7))</f>
        <v>27804.709809401418</v>
      </c>
      <c r="L168" s="22">
        <f>J168*BondCalculator!$B$5/12</f>
        <v>5974.8898417245864</v>
      </c>
      <c r="M168" s="22">
        <f t="shared" si="25"/>
        <v>21829.819967676831</v>
      </c>
      <c r="N168" s="22">
        <f t="shared" si="18"/>
        <v>629976.34458409611</v>
      </c>
      <c r="P168" s="22">
        <f t="shared" si="19"/>
        <v>6931.926061300549</v>
      </c>
      <c r="Q168" s="23">
        <f>-PV(BondCalculator!$B$9/12,B168,0,1,0)</f>
        <v>0.43913677708411269</v>
      </c>
      <c r="S168" s="24">
        <f t="shared" si="20"/>
        <v>3044.0636695448907</v>
      </c>
    </row>
    <row r="169" spans="1:19" ht="16.05" customHeight="1" x14ac:dyDescent="0.25">
      <c r="A169" s="19" t="s">
        <v>111</v>
      </c>
      <c r="B169" s="35">
        <v>166</v>
      </c>
      <c r="C169" s="20">
        <f t="shared" si="26"/>
        <v>1395118.3864236386</v>
      </c>
      <c r="D169" s="20">
        <f>IF(G168=0,0,IF(G168&lt;BondCalculator!$B$12,G168+E169,BondCalculator!$B$12))</f>
        <v>25804.709809401418</v>
      </c>
      <c r="E169" s="20">
        <f>C169*BondCalculator!$B$5/12</f>
        <v>12788.585208883354</v>
      </c>
      <c r="F169" s="20">
        <f t="shared" si="21"/>
        <v>13016.124600518064</v>
      </c>
      <c r="G169" s="20">
        <f t="shared" si="22"/>
        <v>1382102.2618231205</v>
      </c>
      <c r="H169" s="26">
        <f t="shared" si="23"/>
        <v>0.55284090472924818</v>
      </c>
      <c r="J169" s="22">
        <f t="shared" si="24"/>
        <v>629976.34458409611</v>
      </c>
      <c r="K169" s="22">
        <f>IF(N168=0,0,IF(N168&lt;BondCalculator!$B$12+BondCalculator!$B$7,N168+L169,BondCalculator!$B$12+BondCalculator!$B$7))</f>
        <v>27804.709809401418</v>
      </c>
      <c r="L169" s="22">
        <f>J169*BondCalculator!$B$5/12</f>
        <v>5774.7831586875473</v>
      </c>
      <c r="M169" s="22">
        <f t="shared" si="25"/>
        <v>22029.926650713871</v>
      </c>
      <c r="N169" s="22">
        <f t="shared" si="18"/>
        <v>607946.41793338221</v>
      </c>
      <c r="P169" s="22">
        <f t="shared" si="19"/>
        <v>7013.8020501958072</v>
      </c>
      <c r="Q169" s="23">
        <f>-PV(BondCalculator!$B$9/12,B169,0,1,0)</f>
        <v>0.43695201699911712</v>
      </c>
      <c r="S169" s="24">
        <f t="shared" si="20"/>
        <v>3064.6949526656008</v>
      </c>
    </row>
    <row r="170" spans="1:19" ht="16.05" customHeight="1" x14ac:dyDescent="0.25">
      <c r="A170" s="19" t="s">
        <v>111</v>
      </c>
      <c r="B170" s="35">
        <v>167</v>
      </c>
      <c r="C170" s="20">
        <f t="shared" si="26"/>
        <v>1382102.2618231205</v>
      </c>
      <c r="D170" s="20">
        <f>IF(G169=0,0,IF(G169&lt;BondCalculator!$B$12,G169+E170,BondCalculator!$B$12))</f>
        <v>25804.709809401418</v>
      </c>
      <c r="E170" s="20">
        <f>C170*BondCalculator!$B$5/12</f>
        <v>12669.270733378604</v>
      </c>
      <c r="F170" s="20">
        <f t="shared" si="21"/>
        <v>13135.439076022814</v>
      </c>
      <c r="G170" s="20">
        <f t="shared" si="22"/>
        <v>1368966.8227470978</v>
      </c>
      <c r="H170" s="26">
        <f t="shared" si="23"/>
        <v>0.5475867290988391</v>
      </c>
      <c r="J170" s="22">
        <f t="shared" si="24"/>
        <v>607946.41793338221</v>
      </c>
      <c r="K170" s="22">
        <f>IF(N169=0,0,IF(N169&lt;BondCalculator!$B$12+BondCalculator!$B$7,N169+L170,BondCalculator!$B$12+BondCalculator!$B$7))</f>
        <v>27804.709809401418</v>
      </c>
      <c r="L170" s="22">
        <f>J170*BondCalculator!$B$5/12</f>
        <v>5572.8421643893371</v>
      </c>
      <c r="M170" s="22">
        <f t="shared" si="25"/>
        <v>22231.86764501208</v>
      </c>
      <c r="N170" s="22">
        <f t="shared" si="18"/>
        <v>585714.55028837011</v>
      </c>
      <c r="P170" s="22">
        <f t="shared" si="19"/>
        <v>7096.4285689892668</v>
      </c>
      <c r="Q170" s="23">
        <f>-PV(BondCalculator!$B$9/12,B170,0,1,0)</f>
        <v>0.4347781263672808</v>
      </c>
      <c r="S170" s="24">
        <f t="shared" si="20"/>
        <v>3085.371917124397</v>
      </c>
    </row>
    <row r="171" spans="1:19" ht="16.05" customHeight="1" x14ac:dyDescent="0.25">
      <c r="A171" s="19" t="s">
        <v>111</v>
      </c>
      <c r="B171" s="35">
        <v>168</v>
      </c>
      <c r="C171" s="20">
        <f t="shared" si="26"/>
        <v>1368966.8227470978</v>
      </c>
      <c r="D171" s="20">
        <f>IF(G170=0,0,IF(G170&lt;BondCalculator!$B$12,G170+E171,BondCalculator!$B$12))</f>
        <v>25804.709809401418</v>
      </c>
      <c r="E171" s="20">
        <f>C171*BondCalculator!$B$5/12</f>
        <v>12548.862541848395</v>
      </c>
      <c r="F171" s="20">
        <f t="shared" si="21"/>
        <v>13255.847267553023</v>
      </c>
      <c r="G171" s="20">
        <f t="shared" si="22"/>
        <v>1355710.9754795448</v>
      </c>
      <c r="H171" s="26">
        <f t="shared" si="23"/>
        <v>0.54228439019181796</v>
      </c>
      <c r="J171" s="22">
        <f t="shared" si="24"/>
        <v>585714.55028837011</v>
      </c>
      <c r="K171" s="22">
        <f>IF(N170=0,0,IF(N170&lt;BondCalculator!$B$12+BondCalculator!$B$7,N170+L171,BondCalculator!$B$12+BondCalculator!$B$7))</f>
        <v>27804.709809401418</v>
      </c>
      <c r="L171" s="22">
        <f>J171*BondCalculator!$B$5/12</f>
        <v>5369.0500443100591</v>
      </c>
      <c r="M171" s="22">
        <f t="shared" si="25"/>
        <v>22435.659765091361</v>
      </c>
      <c r="N171" s="22">
        <f t="shared" si="18"/>
        <v>563278.89052327874</v>
      </c>
      <c r="P171" s="22">
        <f t="shared" si="19"/>
        <v>7179.8124975383362</v>
      </c>
      <c r="Q171" s="23">
        <f>-PV(BondCalculator!$B$9/12,B171,0,1,0)</f>
        <v>0.43261505111172222</v>
      </c>
      <c r="S171" s="24">
        <f t="shared" si="20"/>
        <v>3106.0949505951294</v>
      </c>
    </row>
    <row r="172" spans="1:19" ht="16.05" customHeight="1" x14ac:dyDescent="0.25">
      <c r="A172" s="19" t="s">
        <v>112</v>
      </c>
      <c r="B172" s="35">
        <v>169</v>
      </c>
      <c r="C172" s="20">
        <f t="shared" si="26"/>
        <v>1355710.9754795448</v>
      </c>
      <c r="D172" s="20">
        <f>IF(G171=0,0,IF(G171&lt;BondCalculator!$B$12,G171+E172,BondCalculator!$B$12))</f>
        <v>25804.709809401418</v>
      </c>
      <c r="E172" s="20">
        <f>C172*BondCalculator!$B$5/12</f>
        <v>12427.350608562496</v>
      </c>
      <c r="F172" s="20">
        <f t="shared" si="21"/>
        <v>13377.359200838922</v>
      </c>
      <c r="G172" s="20">
        <f t="shared" si="22"/>
        <v>1342333.6162787059</v>
      </c>
      <c r="H172" s="26">
        <f t="shared" si="23"/>
        <v>0.53693344651148234</v>
      </c>
      <c r="J172" s="22">
        <f t="shared" si="24"/>
        <v>563278.89052327874</v>
      </c>
      <c r="K172" s="22">
        <f>IF(N171=0,0,IF(N171&lt;BondCalculator!$B$12+BondCalculator!$B$7,N171+L172,BondCalculator!$B$12+BondCalculator!$B$7))</f>
        <v>27804.709809401418</v>
      </c>
      <c r="L172" s="22">
        <f>J172*BondCalculator!$B$5/12</f>
        <v>5163.3898297967216</v>
      </c>
      <c r="M172" s="22">
        <f t="shared" si="25"/>
        <v>22641.319979604697</v>
      </c>
      <c r="N172" s="22">
        <f t="shared" si="18"/>
        <v>540637.57054367405</v>
      </c>
      <c r="P172" s="22">
        <f t="shared" si="19"/>
        <v>7263.9607787657742</v>
      </c>
      <c r="Q172" s="23">
        <f>-PV(BondCalculator!$B$9/12,B172,0,1,0)</f>
        <v>0.43046273742459928</v>
      </c>
      <c r="S172" s="24">
        <f t="shared" si="20"/>
        <v>3126.8644413724392</v>
      </c>
    </row>
    <row r="173" spans="1:19" ht="16.05" customHeight="1" x14ac:dyDescent="0.25">
      <c r="A173" s="19" t="s">
        <v>112</v>
      </c>
      <c r="B173" s="35">
        <v>170</v>
      </c>
      <c r="C173" s="20">
        <f t="shared" si="26"/>
        <v>1342333.6162787059</v>
      </c>
      <c r="D173" s="20">
        <f>IF(G172=0,0,IF(G172&lt;BondCalculator!$B$12,G172+E173,BondCalculator!$B$12))</f>
        <v>25804.709809401418</v>
      </c>
      <c r="E173" s="20">
        <f>C173*BondCalculator!$B$5/12</f>
        <v>12304.724815888136</v>
      </c>
      <c r="F173" s="20">
        <f t="shared" si="21"/>
        <v>13499.984993513282</v>
      </c>
      <c r="G173" s="20">
        <f t="shared" si="22"/>
        <v>1328833.6312851927</v>
      </c>
      <c r="H173" s="26">
        <f t="shared" si="23"/>
        <v>0.53153345251407702</v>
      </c>
      <c r="J173" s="22">
        <f t="shared" si="24"/>
        <v>540637.57054367405</v>
      </c>
      <c r="K173" s="22">
        <f>IF(N172=0,0,IF(N172&lt;BondCalculator!$B$12+BondCalculator!$B$7,N172+L173,BondCalculator!$B$12+BondCalculator!$B$7))</f>
        <v>27804.709809401418</v>
      </c>
      <c r="L173" s="22">
        <f>J173*BondCalculator!$B$5/12</f>
        <v>4955.8443966503455</v>
      </c>
      <c r="M173" s="22">
        <f t="shared" si="25"/>
        <v>22848.865412751074</v>
      </c>
      <c r="N173" s="22">
        <f t="shared" si="18"/>
        <v>517788.70513092296</v>
      </c>
      <c r="P173" s="22">
        <f t="shared" si="19"/>
        <v>7348.8804192377902</v>
      </c>
      <c r="Q173" s="23">
        <f>-PV(BondCalculator!$B$9/12,B173,0,1,0)</f>
        <v>0.42832113176577052</v>
      </c>
      <c r="S173" s="24">
        <f t="shared" si="20"/>
        <v>3147.6807783792406</v>
      </c>
    </row>
    <row r="174" spans="1:19" ht="16.05" customHeight="1" x14ac:dyDescent="0.25">
      <c r="A174" s="19" t="s">
        <v>112</v>
      </c>
      <c r="B174" s="35">
        <v>171</v>
      </c>
      <c r="C174" s="20">
        <f t="shared" si="26"/>
        <v>1328833.6312851927</v>
      </c>
      <c r="D174" s="20">
        <f>IF(G173=0,0,IF(G173&lt;BondCalculator!$B$12,G173+E174,BondCalculator!$B$12))</f>
        <v>25804.709809401418</v>
      </c>
      <c r="E174" s="20">
        <f>C174*BondCalculator!$B$5/12</f>
        <v>12180.9749534476</v>
      </c>
      <c r="F174" s="20">
        <f t="shared" si="21"/>
        <v>13623.734855953819</v>
      </c>
      <c r="G174" s="20">
        <f t="shared" si="22"/>
        <v>1315209.8964292388</v>
      </c>
      <c r="H174" s="26">
        <f t="shared" si="23"/>
        <v>0.52608395857169554</v>
      </c>
      <c r="J174" s="22">
        <f t="shared" si="24"/>
        <v>517788.70513092296</v>
      </c>
      <c r="K174" s="22">
        <f>IF(N173=0,0,IF(N173&lt;BondCalculator!$B$12+BondCalculator!$B$7,N173+L174,BondCalculator!$B$12+BondCalculator!$B$7))</f>
        <v>27804.709809401418</v>
      </c>
      <c r="L174" s="22">
        <f>J174*BondCalculator!$B$5/12</f>
        <v>4746.3964637001272</v>
      </c>
      <c r="M174" s="22">
        <f t="shared" si="25"/>
        <v>23058.313345701292</v>
      </c>
      <c r="N174" s="22">
        <f t="shared" si="18"/>
        <v>494730.39178522164</v>
      </c>
      <c r="P174" s="22">
        <f t="shared" si="19"/>
        <v>7434.5784897474723</v>
      </c>
      <c r="Q174" s="23">
        <f>-PV(BondCalculator!$B$9/12,B174,0,1,0)</f>
        <v>0.42619018086146321</v>
      </c>
      <c r="S174" s="24">
        <f t="shared" si="20"/>
        <v>3168.5443511742192</v>
      </c>
    </row>
    <row r="175" spans="1:19" ht="16.05" customHeight="1" x14ac:dyDescent="0.25">
      <c r="A175" s="19" t="s">
        <v>112</v>
      </c>
      <c r="B175" s="35">
        <v>172</v>
      </c>
      <c r="C175" s="20">
        <f t="shared" si="26"/>
        <v>1315209.8964292388</v>
      </c>
      <c r="D175" s="20">
        <f>IF(G174=0,0,IF(G174&lt;BondCalculator!$B$12,G174+E175,BondCalculator!$B$12))</f>
        <v>25804.709809401418</v>
      </c>
      <c r="E175" s="20">
        <f>C175*BondCalculator!$B$5/12</f>
        <v>12056.090717268024</v>
      </c>
      <c r="F175" s="20">
        <f t="shared" si="21"/>
        <v>13748.619092133395</v>
      </c>
      <c r="G175" s="20">
        <f t="shared" si="22"/>
        <v>1301461.2773371055</v>
      </c>
      <c r="H175" s="26">
        <f t="shared" si="23"/>
        <v>0.52058451093484215</v>
      </c>
      <c r="J175" s="22">
        <f t="shared" si="24"/>
        <v>494730.39178522164</v>
      </c>
      <c r="K175" s="22">
        <f>IF(N174=0,0,IF(N174&lt;BondCalculator!$B$12+BondCalculator!$B$7,N174+L175,BondCalculator!$B$12+BondCalculator!$B$7))</f>
        <v>27804.709809401418</v>
      </c>
      <c r="L175" s="22">
        <f>J175*BondCalculator!$B$5/12</f>
        <v>4535.0285913645321</v>
      </c>
      <c r="M175" s="22">
        <f t="shared" si="25"/>
        <v>23269.681218036887</v>
      </c>
      <c r="N175" s="22">
        <f t="shared" si="18"/>
        <v>471460.71056718472</v>
      </c>
      <c r="P175" s="22">
        <f t="shared" si="19"/>
        <v>7521.0621259034915</v>
      </c>
      <c r="Q175" s="23">
        <f>-PV(BondCalculator!$B$9/12,B175,0,1,0)</f>
        <v>0.4240698317029486</v>
      </c>
      <c r="S175" s="24">
        <f t="shared" si="20"/>
        <v>3189.4555499593143</v>
      </c>
    </row>
    <row r="176" spans="1:19" ht="16.05" customHeight="1" x14ac:dyDescent="0.25">
      <c r="A176" s="19" t="s">
        <v>112</v>
      </c>
      <c r="B176" s="35">
        <v>173</v>
      </c>
      <c r="C176" s="20">
        <f t="shared" si="26"/>
        <v>1301461.2773371055</v>
      </c>
      <c r="D176" s="20">
        <f>IF(G175=0,0,IF(G175&lt;BondCalculator!$B$12,G175+E176,BondCalculator!$B$12))</f>
        <v>25804.709809401418</v>
      </c>
      <c r="E176" s="20">
        <f>C176*BondCalculator!$B$5/12</f>
        <v>11930.061708923467</v>
      </c>
      <c r="F176" s="20">
        <f t="shared" si="21"/>
        <v>13874.648100477951</v>
      </c>
      <c r="G176" s="20">
        <f t="shared" si="22"/>
        <v>1287586.6292366276</v>
      </c>
      <c r="H176" s="26">
        <f t="shared" si="23"/>
        <v>0.51503465169465101</v>
      </c>
      <c r="J176" s="22">
        <f t="shared" si="24"/>
        <v>471460.71056718472</v>
      </c>
      <c r="K176" s="22">
        <f>IF(N175=0,0,IF(N175&lt;BondCalculator!$B$12+BondCalculator!$B$7,N175+L176,BondCalculator!$B$12+BondCalculator!$B$7))</f>
        <v>27804.709809401418</v>
      </c>
      <c r="L176" s="22">
        <f>J176*BondCalculator!$B$5/12</f>
        <v>4321.7231801991938</v>
      </c>
      <c r="M176" s="22">
        <f t="shared" si="25"/>
        <v>23482.986629202223</v>
      </c>
      <c r="N176" s="22">
        <f t="shared" si="18"/>
        <v>447977.72393798252</v>
      </c>
      <c r="P176" s="22">
        <f t="shared" si="19"/>
        <v>7608.3385287242736</v>
      </c>
      <c r="Q176" s="23">
        <f>-PV(BondCalculator!$B$9/12,B176,0,1,0)</f>
        <v>0.4219600315452226</v>
      </c>
      <c r="S176" s="24">
        <f t="shared" si="20"/>
        <v>3210.4147655872271</v>
      </c>
    </row>
    <row r="177" spans="1:19" ht="16.05" customHeight="1" x14ac:dyDescent="0.25">
      <c r="A177" s="19" t="s">
        <v>112</v>
      </c>
      <c r="B177" s="35">
        <v>174</v>
      </c>
      <c r="C177" s="20">
        <f t="shared" si="26"/>
        <v>1287586.6292366276</v>
      </c>
      <c r="D177" s="20">
        <f>IF(G176=0,0,IF(G176&lt;BondCalculator!$B$12,G176+E177,BondCalculator!$B$12))</f>
        <v>25804.709809401418</v>
      </c>
      <c r="E177" s="20">
        <f>C177*BondCalculator!$B$5/12</f>
        <v>11802.877434669086</v>
      </c>
      <c r="F177" s="20">
        <f t="shared" si="21"/>
        <v>14001.832374732332</v>
      </c>
      <c r="G177" s="20">
        <f t="shared" si="22"/>
        <v>1273584.7968618954</v>
      </c>
      <c r="H177" s="26">
        <f t="shared" si="23"/>
        <v>0.50943391874475819</v>
      </c>
      <c r="J177" s="22">
        <f t="shared" si="24"/>
        <v>447977.72393798252</v>
      </c>
      <c r="K177" s="22">
        <f>IF(N176=0,0,IF(N176&lt;BondCalculator!$B$12+BondCalculator!$B$7,N176+L177,BondCalculator!$B$12+BondCalculator!$B$7))</f>
        <v>27804.709809401418</v>
      </c>
      <c r="L177" s="22">
        <f>J177*BondCalculator!$B$5/12</f>
        <v>4106.4624694315062</v>
      </c>
      <c r="M177" s="22">
        <f t="shared" si="25"/>
        <v>23698.247339969912</v>
      </c>
      <c r="N177" s="22">
        <f t="shared" si="18"/>
        <v>424279.47659801261</v>
      </c>
      <c r="P177" s="22">
        <f t="shared" si="19"/>
        <v>7696.41496523758</v>
      </c>
      <c r="Q177" s="23">
        <f>-PV(BondCalculator!$B$9/12,B177,0,1,0)</f>
        <v>0.41986072790569412</v>
      </c>
      <c r="S177" s="24">
        <f t="shared" si="20"/>
        <v>3231.4223895689279</v>
      </c>
    </row>
    <row r="178" spans="1:19" ht="16.05" customHeight="1" x14ac:dyDescent="0.25">
      <c r="A178" s="19" t="s">
        <v>112</v>
      </c>
      <c r="B178" s="35">
        <v>175</v>
      </c>
      <c r="C178" s="20">
        <f t="shared" si="26"/>
        <v>1273584.7968618954</v>
      </c>
      <c r="D178" s="20">
        <f>IF(G177=0,0,IF(G177&lt;BondCalculator!$B$12,G177+E178,BondCalculator!$B$12))</f>
        <v>25804.709809401418</v>
      </c>
      <c r="E178" s="20">
        <f>C178*BondCalculator!$B$5/12</f>
        <v>11674.527304567375</v>
      </c>
      <c r="F178" s="20">
        <f t="shared" si="21"/>
        <v>14130.182504834043</v>
      </c>
      <c r="G178" s="20">
        <f t="shared" si="22"/>
        <v>1259454.6143570612</v>
      </c>
      <c r="H178" s="26">
        <f t="shared" si="23"/>
        <v>0.50378184574282447</v>
      </c>
      <c r="J178" s="22">
        <f t="shared" si="24"/>
        <v>424279.47659801261</v>
      </c>
      <c r="K178" s="22">
        <f>IF(N177=0,0,IF(N177&lt;BondCalculator!$B$12+BondCalculator!$B$7,N177+L178,BondCalculator!$B$12+BondCalculator!$B$7))</f>
        <v>27804.709809401418</v>
      </c>
      <c r="L178" s="22">
        <f>J178*BondCalculator!$B$5/12</f>
        <v>3889.2285354817827</v>
      </c>
      <c r="M178" s="22">
        <f t="shared" si="25"/>
        <v>23915.481273919635</v>
      </c>
      <c r="N178" s="22">
        <f t="shared" si="18"/>
        <v>400363.99532409298</v>
      </c>
      <c r="P178" s="22">
        <f t="shared" si="19"/>
        <v>7785.2987690855916</v>
      </c>
      <c r="Q178" s="23">
        <f>-PV(BondCalculator!$B$9/12,B178,0,1,0)</f>
        <v>0.41777186856287984</v>
      </c>
      <c r="S178" s="24">
        <f t="shared" si="20"/>
        <v>3252.4788140811761</v>
      </c>
    </row>
    <row r="179" spans="1:19" ht="16.05" customHeight="1" x14ac:dyDescent="0.25">
      <c r="A179" s="19" t="s">
        <v>112</v>
      </c>
      <c r="B179" s="35">
        <v>176</v>
      </c>
      <c r="C179" s="20">
        <f t="shared" si="26"/>
        <v>1259454.6143570612</v>
      </c>
      <c r="D179" s="20">
        <f>IF(G178=0,0,IF(G178&lt;BondCalculator!$B$12,G178+E179,BondCalculator!$B$12))</f>
        <v>25804.709809401418</v>
      </c>
      <c r="E179" s="20">
        <f>C179*BondCalculator!$B$5/12</f>
        <v>11545.000631606395</v>
      </c>
      <c r="F179" s="20">
        <f t="shared" si="21"/>
        <v>14259.709177795023</v>
      </c>
      <c r="G179" s="20">
        <f t="shared" si="22"/>
        <v>1245194.9051792661</v>
      </c>
      <c r="H179" s="26">
        <f t="shared" si="23"/>
        <v>0.49807796207170646</v>
      </c>
      <c r="J179" s="22">
        <f t="shared" si="24"/>
        <v>400363.99532409298</v>
      </c>
      <c r="K179" s="22">
        <f>IF(N178=0,0,IF(N178&lt;BondCalculator!$B$12+BondCalculator!$B$7,N178+L179,BondCalculator!$B$12+BondCalculator!$B$7))</f>
        <v>27804.709809401418</v>
      </c>
      <c r="L179" s="22">
        <f>J179*BondCalculator!$B$5/12</f>
        <v>3670.0032904708519</v>
      </c>
      <c r="M179" s="22">
        <f t="shared" si="25"/>
        <v>24134.706518930565</v>
      </c>
      <c r="N179" s="22">
        <f t="shared" si="18"/>
        <v>376229.28880516242</v>
      </c>
      <c r="P179" s="22">
        <f t="shared" si="19"/>
        <v>7874.997341135544</v>
      </c>
      <c r="Q179" s="23">
        <f>-PV(BondCalculator!$B$9/12,B179,0,1,0)</f>
        <v>0.41569340155510437</v>
      </c>
      <c r="S179" s="24">
        <f t="shared" si="20"/>
        <v>3273.5844319740368</v>
      </c>
    </row>
    <row r="180" spans="1:19" ht="16.05" customHeight="1" x14ac:dyDescent="0.25">
      <c r="A180" s="19" t="s">
        <v>112</v>
      </c>
      <c r="B180" s="35">
        <v>177</v>
      </c>
      <c r="C180" s="20">
        <f t="shared" si="26"/>
        <v>1245194.9051792661</v>
      </c>
      <c r="D180" s="20">
        <f>IF(G179=0,0,IF(G179&lt;BondCalculator!$B$12,G179+E180,BondCalculator!$B$12))</f>
        <v>25804.709809401418</v>
      </c>
      <c r="E180" s="20">
        <f>C180*BondCalculator!$B$5/12</f>
        <v>11414.28663080994</v>
      </c>
      <c r="F180" s="20">
        <f t="shared" si="21"/>
        <v>14390.423178591478</v>
      </c>
      <c r="G180" s="20">
        <f t="shared" si="22"/>
        <v>1230804.4820006746</v>
      </c>
      <c r="H180" s="26">
        <f t="shared" si="23"/>
        <v>0.49232179280026983</v>
      </c>
      <c r="J180" s="22">
        <f t="shared" si="24"/>
        <v>376229.28880516242</v>
      </c>
      <c r="K180" s="22">
        <f>IF(N179=0,0,IF(N179&lt;BondCalculator!$B$12+BondCalculator!$B$7,N179+L180,BondCalculator!$B$12+BondCalculator!$B$7))</f>
        <v>27804.709809401418</v>
      </c>
      <c r="L180" s="22">
        <f>J180*BondCalculator!$B$5/12</f>
        <v>3448.768480713989</v>
      </c>
      <c r="M180" s="22">
        <f t="shared" si="25"/>
        <v>24355.94132868743</v>
      </c>
      <c r="N180" s="22">
        <f t="shared" si="18"/>
        <v>351873.347476475</v>
      </c>
      <c r="P180" s="22">
        <f t="shared" si="19"/>
        <v>7965.5181500959516</v>
      </c>
      <c r="Q180" s="23">
        <f>-PV(BondCalculator!$B$9/12,B180,0,1,0)</f>
        <v>0.41362527517920833</v>
      </c>
      <c r="S180" s="24">
        <f t="shared" si="20"/>
        <v>3294.7396367784163</v>
      </c>
    </row>
    <row r="181" spans="1:19" ht="16.05" customHeight="1" x14ac:dyDescent="0.25">
      <c r="A181" s="19" t="s">
        <v>112</v>
      </c>
      <c r="B181" s="35">
        <v>178</v>
      </c>
      <c r="C181" s="20">
        <f t="shared" si="26"/>
        <v>1230804.4820006746</v>
      </c>
      <c r="D181" s="20">
        <f>IF(G180=0,0,IF(G180&lt;BondCalculator!$B$12,G180+E181,BondCalculator!$B$12))</f>
        <v>25804.709809401418</v>
      </c>
      <c r="E181" s="20">
        <f>C181*BondCalculator!$B$5/12</f>
        <v>11282.374418339517</v>
      </c>
      <c r="F181" s="20">
        <f t="shared" si="21"/>
        <v>14522.335391061901</v>
      </c>
      <c r="G181" s="20">
        <f t="shared" si="22"/>
        <v>1216282.1466096127</v>
      </c>
      <c r="H181" s="26">
        <f t="shared" si="23"/>
        <v>0.48651285864384508</v>
      </c>
      <c r="J181" s="22">
        <f t="shared" si="24"/>
        <v>351873.347476475</v>
      </c>
      <c r="K181" s="22">
        <f>IF(N180=0,0,IF(N180&lt;BondCalculator!$B$12+BondCalculator!$B$7,N180+L181,BondCalculator!$B$12+BondCalculator!$B$7))</f>
        <v>27804.709809401418</v>
      </c>
      <c r="L181" s="22">
        <f>J181*BondCalculator!$B$5/12</f>
        <v>3225.5056852010207</v>
      </c>
      <c r="M181" s="22">
        <f t="shared" si="25"/>
        <v>24579.204124200398</v>
      </c>
      <c r="N181" s="22">
        <f t="shared" si="18"/>
        <v>327294.14335227461</v>
      </c>
      <c r="P181" s="22">
        <f t="shared" si="19"/>
        <v>8056.8687331384972</v>
      </c>
      <c r="Q181" s="23">
        <f>-PV(BondCalculator!$B$9/12,B181,0,1,0)</f>
        <v>0.41156743798926215</v>
      </c>
      <c r="S181" s="24">
        <f t="shared" si="20"/>
        <v>3315.9448227136036</v>
      </c>
    </row>
    <row r="182" spans="1:19" ht="16.05" customHeight="1" x14ac:dyDescent="0.25">
      <c r="A182" s="19" t="s">
        <v>112</v>
      </c>
      <c r="B182" s="35">
        <v>179</v>
      </c>
      <c r="C182" s="20">
        <f t="shared" si="26"/>
        <v>1216282.1466096127</v>
      </c>
      <c r="D182" s="20">
        <f>IF(G181=0,0,IF(G181&lt;BondCalculator!$B$12,G181+E182,BondCalculator!$B$12))</f>
        <v>25804.709809401418</v>
      </c>
      <c r="E182" s="20">
        <f>C182*BondCalculator!$B$5/12</f>
        <v>11149.253010588116</v>
      </c>
      <c r="F182" s="20">
        <f t="shared" si="21"/>
        <v>14655.456798813302</v>
      </c>
      <c r="G182" s="20">
        <f t="shared" si="22"/>
        <v>1201626.6898107994</v>
      </c>
      <c r="H182" s="26">
        <f t="shared" si="23"/>
        <v>0.48065067592431976</v>
      </c>
      <c r="J182" s="22">
        <f t="shared" si="24"/>
        <v>327294.14335227461</v>
      </c>
      <c r="K182" s="22">
        <f>IF(N181=0,0,IF(N181&lt;BondCalculator!$B$12+BondCalculator!$B$7,N181+L182,BondCalculator!$B$12+BondCalculator!$B$7))</f>
        <v>27804.709809401418</v>
      </c>
      <c r="L182" s="22">
        <f>J182*BondCalculator!$B$5/12</f>
        <v>3000.1963140625176</v>
      </c>
      <c r="M182" s="22">
        <f t="shared" si="25"/>
        <v>24804.513495338899</v>
      </c>
      <c r="N182" s="22">
        <f t="shared" si="18"/>
        <v>302489.6298569357</v>
      </c>
      <c r="P182" s="22">
        <f t="shared" si="19"/>
        <v>8149.0566965255985</v>
      </c>
      <c r="Q182" s="23">
        <f>-PV(BondCalculator!$B$9/12,B182,0,1,0)</f>
        <v>0.40951983879528581</v>
      </c>
      <c r="S182" s="24">
        <f t="shared" si="20"/>
        <v>3337.2003846948073</v>
      </c>
    </row>
    <row r="183" spans="1:19" ht="16.05" customHeight="1" x14ac:dyDescent="0.25">
      <c r="A183" s="19" t="s">
        <v>112</v>
      </c>
      <c r="B183" s="35">
        <v>180</v>
      </c>
      <c r="C183" s="20">
        <f t="shared" si="26"/>
        <v>1201626.6898107994</v>
      </c>
      <c r="D183" s="20">
        <f>IF(G182=0,0,IF(G182&lt;BondCalculator!$B$12,G182+E183,BondCalculator!$B$12))</f>
        <v>25804.709809401418</v>
      </c>
      <c r="E183" s="20">
        <f>C183*BondCalculator!$B$5/12</f>
        <v>11014.911323265662</v>
      </c>
      <c r="F183" s="20">
        <f t="shared" si="21"/>
        <v>14789.798486135756</v>
      </c>
      <c r="G183" s="20">
        <f t="shared" si="22"/>
        <v>1186836.8913246638</v>
      </c>
      <c r="H183" s="26">
        <f t="shared" si="23"/>
        <v>0.47473475652986552</v>
      </c>
      <c r="J183" s="22">
        <f t="shared" si="24"/>
        <v>302489.6298569357</v>
      </c>
      <c r="K183" s="22">
        <f>IF(N182=0,0,IF(N182&lt;BondCalculator!$B$12+BondCalculator!$B$7,N182+L183,BondCalculator!$B$12+BondCalculator!$B$7))</f>
        <v>27804.709809401418</v>
      </c>
      <c r="L183" s="22">
        <f>J183*BondCalculator!$B$5/12</f>
        <v>2772.8216070219109</v>
      </c>
      <c r="M183" s="22">
        <f t="shared" si="25"/>
        <v>25031.888202379509</v>
      </c>
      <c r="N183" s="22">
        <f t="shared" si="18"/>
        <v>277457.74165455619</v>
      </c>
      <c r="P183" s="22">
        <f t="shared" si="19"/>
        <v>8242.0897162437504</v>
      </c>
      <c r="Q183" s="23">
        <f>-PV(BondCalculator!$B$9/12,B183,0,1,0)</f>
        <v>0.40748242666197593</v>
      </c>
      <c r="S183" s="24">
        <f t="shared" si="20"/>
        <v>3358.50671834072</v>
      </c>
    </row>
    <row r="184" spans="1:19" ht="16.05" customHeight="1" x14ac:dyDescent="0.25">
      <c r="A184" s="19" t="s">
        <v>113</v>
      </c>
      <c r="B184" s="35">
        <v>181</v>
      </c>
      <c r="C184" s="20">
        <f t="shared" si="26"/>
        <v>1186836.8913246638</v>
      </c>
      <c r="D184" s="20">
        <f>IF(G183=0,0,IF(G183&lt;BondCalculator!$B$12,G183+E184,BondCalculator!$B$12))</f>
        <v>25804.709809401418</v>
      </c>
      <c r="E184" s="20">
        <f>C184*BondCalculator!$B$5/12</f>
        <v>10879.338170476085</v>
      </c>
      <c r="F184" s="20">
        <f t="shared" si="21"/>
        <v>14925.371638925333</v>
      </c>
      <c r="G184" s="20">
        <f t="shared" si="22"/>
        <v>1171911.5196857385</v>
      </c>
      <c r="H184" s="26">
        <f t="shared" si="23"/>
        <v>0.46876460787429541</v>
      </c>
      <c r="J184" s="22">
        <f t="shared" si="24"/>
        <v>277457.74165455619</v>
      </c>
      <c r="K184" s="22">
        <f>IF(N183=0,0,IF(N183&lt;BondCalculator!$B$12+BondCalculator!$B$7,N183+L184,BondCalculator!$B$12+BondCalculator!$B$7))</f>
        <v>27804.709809401418</v>
      </c>
      <c r="L184" s="22">
        <f>J184*BondCalculator!$B$5/12</f>
        <v>2543.3626318334318</v>
      </c>
      <c r="M184" s="22">
        <f t="shared" si="25"/>
        <v>25261.347177567986</v>
      </c>
      <c r="N184" s="22">
        <f t="shared" si="18"/>
        <v>252196.39447698821</v>
      </c>
      <c r="P184" s="22">
        <f t="shared" si="19"/>
        <v>8335.9755386426532</v>
      </c>
      <c r="Q184" s="23">
        <f>-PV(BondCalculator!$B$9/12,B184,0,1,0)</f>
        <v>0.40545515090743878</v>
      </c>
      <c r="S184" s="24">
        <f t="shared" si="20"/>
        <v>3379.8642199810752</v>
      </c>
    </row>
    <row r="185" spans="1:19" ht="16.05" customHeight="1" x14ac:dyDescent="0.25">
      <c r="A185" s="19" t="s">
        <v>113</v>
      </c>
      <c r="B185" s="35">
        <v>182</v>
      </c>
      <c r="C185" s="20">
        <f t="shared" si="26"/>
        <v>1171911.5196857385</v>
      </c>
      <c r="D185" s="20">
        <f>IF(G184=0,0,IF(G184&lt;BondCalculator!$B$12,G184+E185,BondCalculator!$B$12))</f>
        <v>25804.709809401418</v>
      </c>
      <c r="E185" s="20">
        <f>C185*BondCalculator!$B$5/12</f>
        <v>10742.522263785935</v>
      </c>
      <c r="F185" s="20">
        <f t="shared" si="21"/>
        <v>15062.187545615483</v>
      </c>
      <c r="G185" s="20">
        <f t="shared" si="22"/>
        <v>1156849.332140123</v>
      </c>
      <c r="H185" s="26">
        <f t="shared" si="23"/>
        <v>0.46273973285604919</v>
      </c>
      <c r="J185" s="22">
        <f t="shared" si="24"/>
        <v>252196.39447698821</v>
      </c>
      <c r="K185" s="22">
        <f>IF(N184=0,0,IF(N184&lt;BondCalculator!$B$12+BondCalculator!$B$7,N184+L185,BondCalculator!$B$12+BondCalculator!$B$7))</f>
        <v>27804.709809401418</v>
      </c>
      <c r="L185" s="22">
        <f>J185*BondCalculator!$B$5/12</f>
        <v>2311.8002827057253</v>
      </c>
      <c r="M185" s="22">
        <f t="shared" si="25"/>
        <v>25492.909526695694</v>
      </c>
      <c r="N185" s="22">
        <f t="shared" si="18"/>
        <v>226703.48495029251</v>
      </c>
      <c r="P185" s="22">
        <f t="shared" si="19"/>
        <v>8430.7219810802089</v>
      </c>
      <c r="Q185" s="23">
        <f>-PV(BondCalculator!$B$9/12,B185,0,1,0)</f>
        <v>0.40343796110192925</v>
      </c>
      <c r="S185" s="24">
        <f t="shared" si="20"/>
        <v>3401.2732866642173</v>
      </c>
    </row>
    <row r="186" spans="1:19" ht="16.05" customHeight="1" x14ac:dyDescent="0.25">
      <c r="A186" s="19" t="s">
        <v>113</v>
      </c>
      <c r="B186" s="35">
        <v>183</v>
      </c>
      <c r="C186" s="20">
        <f t="shared" si="26"/>
        <v>1156849.332140123</v>
      </c>
      <c r="D186" s="20">
        <f>IF(G185=0,0,IF(G185&lt;BondCalculator!$B$12,G185+E186,BondCalculator!$B$12))</f>
        <v>25804.709809401418</v>
      </c>
      <c r="E186" s="20">
        <f>C186*BondCalculator!$B$5/12</f>
        <v>10604.452211284461</v>
      </c>
      <c r="F186" s="20">
        <f t="shared" si="21"/>
        <v>15200.257598116958</v>
      </c>
      <c r="G186" s="20">
        <f t="shared" si="22"/>
        <v>1141649.074542006</v>
      </c>
      <c r="H186" s="26">
        <f t="shared" si="23"/>
        <v>0.45665962981680241</v>
      </c>
      <c r="J186" s="22">
        <f t="shared" si="24"/>
        <v>226703.48495029251</v>
      </c>
      <c r="K186" s="22">
        <f>IF(N185=0,0,IF(N185&lt;BondCalculator!$B$12+BondCalculator!$B$7,N185+L186,BondCalculator!$B$12+BondCalculator!$B$7))</f>
        <v>27804.709809401418</v>
      </c>
      <c r="L186" s="22">
        <f>J186*BondCalculator!$B$5/12</f>
        <v>2078.1152787110145</v>
      </c>
      <c r="M186" s="22">
        <f t="shared" si="25"/>
        <v>25726.594530690403</v>
      </c>
      <c r="N186" s="22">
        <f t="shared" si="18"/>
        <v>200976.8904196021</v>
      </c>
      <c r="P186" s="22">
        <f t="shared" si="19"/>
        <v>8526.3369325734457</v>
      </c>
      <c r="Q186" s="23">
        <f>-PV(BondCalculator!$B$9/12,B186,0,1,0)</f>
        <v>0.40143080706659628</v>
      </c>
      <c r="S186" s="24">
        <f t="shared" si="20"/>
        <v>3422.7343161646854</v>
      </c>
    </row>
    <row r="187" spans="1:19" ht="16.05" customHeight="1" x14ac:dyDescent="0.25">
      <c r="A187" s="19" t="s">
        <v>113</v>
      </c>
      <c r="B187" s="35">
        <v>184</v>
      </c>
      <c r="C187" s="20">
        <f t="shared" si="26"/>
        <v>1141649.074542006</v>
      </c>
      <c r="D187" s="20">
        <f>IF(G186=0,0,IF(G186&lt;BondCalculator!$B$12,G186+E187,BondCalculator!$B$12))</f>
        <v>25804.709809401418</v>
      </c>
      <c r="E187" s="20">
        <f>C187*BondCalculator!$B$5/12</f>
        <v>10465.116516635055</v>
      </c>
      <c r="F187" s="20">
        <f t="shared" si="21"/>
        <v>15339.593292766363</v>
      </c>
      <c r="G187" s="20">
        <f t="shared" si="22"/>
        <v>1126309.4812492398</v>
      </c>
      <c r="H187" s="26">
        <f t="shared" si="23"/>
        <v>0.45052379249969593</v>
      </c>
      <c r="J187" s="22">
        <f t="shared" si="24"/>
        <v>200976.8904196021</v>
      </c>
      <c r="K187" s="22">
        <f>IF(N186=0,0,IF(N186&lt;BondCalculator!$B$12+BondCalculator!$B$7,N186+L187,BondCalculator!$B$12+BondCalculator!$B$7))</f>
        <v>27804.709809401418</v>
      </c>
      <c r="L187" s="22">
        <f>J187*BondCalculator!$B$5/12</f>
        <v>1842.288162179686</v>
      </c>
      <c r="M187" s="22">
        <f t="shared" si="25"/>
        <v>25962.42164722173</v>
      </c>
      <c r="N187" s="22">
        <f t="shared" si="18"/>
        <v>175014.46877238038</v>
      </c>
      <c r="P187" s="22">
        <f t="shared" si="19"/>
        <v>8622.8283544553688</v>
      </c>
      <c r="Q187" s="23">
        <f>-PV(BondCalculator!$B$9/12,B187,0,1,0)</f>
        <v>0.39943363887223515</v>
      </c>
      <c r="S187" s="24">
        <f t="shared" si="20"/>
        <v>3444.2477069907955</v>
      </c>
    </row>
    <row r="188" spans="1:19" ht="16.05" customHeight="1" x14ac:dyDescent="0.25">
      <c r="A188" s="19" t="s">
        <v>113</v>
      </c>
      <c r="B188" s="35">
        <v>185</v>
      </c>
      <c r="C188" s="20">
        <f t="shared" si="26"/>
        <v>1126309.4812492398</v>
      </c>
      <c r="D188" s="20">
        <f>IF(G187=0,0,IF(G187&lt;BondCalculator!$B$12,G187+E188,BondCalculator!$B$12))</f>
        <v>25804.709809401418</v>
      </c>
      <c r="E188" s="20">
        <f>C188*BondCalculator!$B$5/12</f>
        <v>10324.503578118032</v>
      </c>
      <c r="F188" s="20">
        <f t="shared" si="21"/>
        <v>15480.206231283386</v>
      </c>
      <c r="G188" s="20">
        <f t="shared" si="22"/>
        <v>1110829.2750179563</v>
      </c>
      <c r="H188" s="26">
        <f t="shared" si="23"/>
        <v>0.44433171000718252</v>
      </c>
      <c r="J188" s="22">
        <f t="shared" si="24"/>
        <v>175014.46877238038</v>
      </c>
      <c r="K188" s="22">
        <f>IF(N187=0,0,IF(N187&lt;BondCalculator!$B$12+BondCalculator!$B$7,N187+L188,BondCalculator!$B$12+BondCalculator!$B$7))</f>
        <v>27804.709809401418</v>
      </c>
      <c r="L188" s="22">
        <f>J188*BondCalculator!$B$5/12</f>
        <v>1604.2992970801536</v>
      </c>
      <c r="M188" s="22">
        <f t="shared" si="25"/>
        <v>26200.410512321265</v>
      </c>
      <c r="N188" s="22">
        <f t="shared" si="18"/>
        <v>148814.0582600591</v>
      </c>
      <c r="P188" s="22">
        <f t="shared" si="19"/>
        <v>8720.2042810378789</v>
      </c>
      <c r="Q188" s="23">
        <f>-PV(BondCalculator!$B$9/12,B188,0,1,0)</f>
        <v>0.397446406838045</v>
      </c>
      <c r="S188" s="24">
        <f t="shared" si="20"/>
        <v>3465.8138583922423</v>
      </c>
    </row>
    <row r="189" spans="1:19" ht="16.05" customHeight="1" x14ac:dyDescent="0.25">
      <c r="A189" s="19" t="s">
        <v>113</v>
      </c>
      <c r="B189" s="35">
        <v>186</v>
      </c>
      <c r="C189" s="20">
        <f t="shared" si="26"/>
        <v>1110829.2750179563</v>
      </c>
      <c r="D189" s="20">
        <f>IF(G188=0,0,IF(G188&lt;BondCalculator!$B$12,G188+E189,BondCalculator!$B$12))</f>
        <v>25804.709809401418</v>
      </c>
      <c r="E189" s="20">
        <f>C189*BondCalculator!$B$5/12</f>
        <v>10182.601687664599</v>
      </c>
      <c r="F189" s="20">
        <f t="shared" si="21"/>
        <v>15622.108121736819</v>
      </c>
      <c r="G189" s="20">
        <f t="shared" si="22"/>
        <v>1095207.1668962194</v>
      </c>
      <c r="H189" s="26">
        <f t="shared" si="23"/>
        <v>0.43808286675848773</v>
      </c>
      <c r="J189" s="22">
        <f t="shared" si="24"/>
        <v>148814.0582600591</v>
      </c>
      <c r="K189" s="22">
        <f>IF(N188=0,0,IF(N188&lt;BondCalculator!$B$12+BondCalculator!$B$7,N188+L189,BondCalculator!$B$12+BondCalculator!$B$7))</f>
        <v>27804.709809401418</v>
      </c>
      <c r="L189" s="22">
        <f>J189*BondCalculator!$B$5/12</f>
        <v>1364.1288673838751</v>
      </c>
      <c r="M189" s="22">
        <f t="shared" si="25"/>
        <v>26440.580942017543</v>
      </c>
      <c r="N189" s="22">
        <f t="shared" si="18"/>
        <v>122373.47731804155</v>
      </c>
      <c r="P189" s="22">
        <f t="shared" si="19"/>
        <v>8818.4728202807237</v>
      </c>
      <c r="Q189" s="23">
        <f>-PV(BondCalculator!$B$9/12,B189,0,1,0)</f>
        <v>0.39546906153039313</v>
      </c>
      <c r="S189" s="24">
        <f t="shared" si="20"/>
        <v>3487.4331703676971</v>
      </c>
    </row>
    <row r="190" spans="1:19" ht="16.05" customHeight="1" x14ac:dyDescent="0.25">
      <c r="A190" s="19" t="s">
        <v>113</v>
      </c>
      <c r="B190" s="35">
        <v>187</v>
      </c>
      <c r="C190" s="20">
        <f t="shared" si="26"/>
        <v>1095207.1668962194</v>
      </c>
      <c r="D190" s="20">
        <f>IF(G189=0,0,IF(G189&lt;BondCalculator!$B$12,G189+E190,BondCalculator!$B$12))</f>
        <v>25804.709809401418</v>
      </c>
      <c r="E190" s="20">
        <f>C190*BondCalculator!$B$5/12</f>
        <v>10039.399029882012</v>
      </c>
      <c r="F190" s="20">
        <f t="shared" si="21"/>
        <v>15765.310779519406</v>
      </c>
      <c r="G190" s="20">
        <f t="shared" si="22"/>
        <v>1079441.8561167</v>
      </c>
      <c r="H190" s="26">
        <f t="shared" si="23"/>
        <v>0.43177674244668002</v>
      </c>
      <c r="J190" s="22">
        <f t="shared" si="24"/>
        <v>122373.47731804155</v>
      </c>
      <c r="K190" s="22">
        <f>IF(N189=0,0,IF(N189&lt;BondCalculator!$B$12+BondCalculator!$B$7,N189+L190,BondCalculator!$B$12+BondCalculator!$B$7))</f>
        <v>27804.709809401418</v>
      </c>
      <c r="L190" s="22">
        <f>J190*BondCalculator!$B$5/12</f>
        <v>1121.7568754153808</v>
      </c>
      <c r="M190" s="22">
        <f t="shared" si="25"/>
        <v>26682.952933986038</v>
      </c>
      <c r="N190" s="22">
        <f t="shared" si="18"/>
        <v>95690.524384055519</v>
      </c>
      <c r="P190" s="22">
        <f t="shared" si="19"/>
        <v>8917.64215446663</v>
      </c>
      <c r="Q190" s="23">
        <f>-PV(BondCalculator!$B$9/12,B190,0,1,0)</f>
        <v>0.39350155376158519</v>
      </c>
      <c r="S190" s="24">
        <f t="shared" si="20"/>
        <v>3509.1060436724288</v>
      </c>
    </row>
    <row r="191" spans="1:19" ht="16.05" customHeight="1" x14ac:dyDescent="0.25">
      <c r="A191" s="19" t="s">
        <v>113</v>
      </c>
      <c r="B191" s="35">
        <v>188</v>
      </c>
      <c r="C191" s="20">
        <f t="shared" si="26"/>
        <v>1079441.8561167</v>
      </c>
      <c r="D191" s="20">
        <f>IF(G190=0,0,IF(G190&lt;BondCalculator!$B$12,G190+E191,BondCalculator!$B$12))</f>
        <v>25804.709809401418</v>
      </c>
      <c r="E191" s="20">
        <f>C191*BondCalculator!$B$5/12</f>
        <v>9894.8836810697503</v>
      </c>
      <c r="F191" s="20">
        <f t="shared" si="21"/>
        <v>15909.826128331668</v>
      </c>
      <c r="G191" s="20">
        <f t="shared" si="22"/>
        <v>1063532.0299883683</v>
      </c>
      <c r="H191" s="26">
        <f t="shared" si="23"/>
        <v>0.42541281199534731</v>
      </c>
      <c r="J191" s="22">
        <f t="shared" si="24"/>
        <v>95690.524384055519</v>
      </c>
      <c r="K191" s="22">
        <f>IF(N190=0,0,IF(N190&lt;BondCalculator!$B$12+BondCalculator!$B$7,N190+L191,BondCalculator!$B$12+BondCalculator!$B$7))</f>
        <v>27804.709809401418</v>
      </c>
      <c r="L191" s="22">
        <f>J191*BondCalculator!$B$5/12</f>
        <v>877.1631401871756</v>
      </c>
      <c r="M191" s="22">
        <f t="shared" si="25"/>
        <v>26927.546669214244</v>
      </c>
      <c r="N191" s="22">
        <f t="shared" si="18"/>
        <v>68762.977714841283</v>
      </c>
      <c r="P191" s="22">
        <f t="shared" si="19"/>
        <v>9017.7205408825739</v>
      </c>
      <c r="Q191" s="23">
        <f>-PV(BondCalculator!$B$9/12,B191,0,1,0)</f>
        <v>0.39154383458864206</v>
      </c>
      <c r="S191" s="24">
        <f t="shared" si="20"/>
        <v>3530.8328798259263</v>
      </c>
    </row>
    <row r="192" spans="1:19" ht="16.05" customHeight="1" x14ac:dyDescent="0.25">
      <c r="A192" s="19" t="s">
        <v>113</v>
      </c>
      <c r="B192" s="35">
        <v>189</v>
      </c>
      <c r="C192" s="20">
        <f t="shared" si="26"/>
        <v>1063532.0299883683</v>
      </c>
      <c r="D192" s="20">
        <f>IF(G191=0,0,IF(G191&lt;BondCalculator!$B$12,G191+E192,BondCalculator!$B$12))</f>
        <v>25804.709809401418</v>
      </c>
      <c r="E192" s="20">
        <f>C192*BondCalculator!$B$5/12</f>
        <v>9749.0436082267097</v>
      </c>
      <c r="F192" s="20">
        <f t="shared" si="21"/>
        <v>16055.666201174708</v>
      </c>
      <c r="G192" s="20">
        <f t="shared" si="22"/>
        <v>1047476.3637871935</v>
      </c>
      <c r="H192" s="26">
        <f t="shared" si="23"/>
        <v>0.41899054551487741</v>
      </c>
      <c r="J192" s="22">
        <f t="shared" si="24"/>
        <v>68762.977714841283</v>
      </c>
      <c r="K192" s="22">
        <f>IF(N191=0,0,IF(N191&lt;BondCalculator!$B$12+BondCalculator!$B$7,N191+L192,BondCalculator!$B$12+BondCalculator!$B$7))</f>
        <v>27804.709809401418</v>
      </c>
      <c r="L192" s="22">
        <f>J192*BondCalculator!$B$5/12</f>
        <v>630.32729571937841</v>
      </c>
      <c r="M192" s="22">
        <f t="shared" si="25"/>
        <v>27174.382513682041</v>
      </c>
      <c r="N192" s="22">
        <f t="shared" si="18"/>
        <v>41588.595201159245</v>
      </c>
      <c r="P192" s="22">
        <f t="shared" si="19"/>
        <v>9118.7163125073312</v>
      </c>
      <c r="Q192" s="23">
        <f>-PV(BondCalculator!$B$9/12,B192,0,1,0)</f>
        <v>0.38959585531208174</v>
      </c>
      <c r="S192" s="24">
        <f t="shared" si="20"/>
        <v>3552.6140811195255</v>
      </c>
    </row>
    <row r="193" spans="1:19" ht="16.05" customHeight="1" x14ac:dyDescent="0.25">
      <c r="A193" s="19" t="s">
        <v>113</v>
      </c>
      <c r="B193" s="35">
        <v>190</v>
      </c>
      <c r="C193" s="20">
        <f t="shared" si="26"/>
        <v>1047476.3637871935</v>
      </c>
      <c r="D193" s="20">
        <f>IF(G192=0,0,IF(G192&lt;BondCalculator!$B$12,G192+E193,BondCalculator!$B$12))</f>
        <v>25804.709809401418</v>
      </c>
      <c r="E193" s="20">
        <f>C193*BondCalculator!$B$5/12</f>
        <v>9601.8666680492734</v>
      </c>
      <c r="F193" s="20">
        <f t="shared" si="21"/>
        <v>16202.843141352145</v>
      </c>
      <c r="G193" s="20">
        <f t="shared" si="22"/>
        <v>1031273.5206458414</v>
      </c>
      <c r="H193" s="26">
        <f t="shared" si="23"/>
        <v>0.41250940825833654</v>
      </c>
      <c r="J193" s="22">
        <f t="shared" si="24"/>
        <v>41588.595201159245</v>
      </c>
      <c r="K193" s="22">
        <f>IF(N192=0,0,IF(N192&lt;BondCalculator!$B$12+BondCalculator!$B$7,N192+L193,BondCalculator!$B$12+BondCalculator!$B$7))</f>
        <v>27804.709809401418</v>
      </c>
      <c r="L193" s="22">
        <f>J193*BondCalculator!$B$5/12</f>
        <v>381.22878934395976</v>
      </c>
      <c r="M193" s="22">
        <f t="shared" si="25"/>
        <v>27423.481020057457</v>
      </c>
      <c r="N193" s="22">
        <f t="shared" si="18"/>
        <v>14165.114181101788</v>
      </c>
      <c r="P193" s="22">
        <f t="shared" si="19"/>
        <v>9220.6378787053145</v>
      </c>
      <c r="Q193" s="23">
        <f>-PV(BondCalculator!$B$9/12,B193,0,1,0)</f>
        <v>0.38765756747470831</v>
      </c>
      <c r="S193" s="24">
        <f t="shared" si="20"/>
        <v>3574.4500506240565</v>
      </c>
    </row>
    <row r="194" spans="1:19" ht="16.05" customHeight="1" x14ac:dyDescent="0.25">
      <c r="A194" s="19" t="s">
        <v>113</v>
      </c>
      <c r="B194" s="35">
        <v>191</v>
      </c>
      <c r="C194" s="20">
        <f t="shared" si="26"/>
        <v>1031273.5206458414</v>
      </c>
      <c r="D194" s="20">
        <f>IF(G193=0,0,IF(G193&lt;BondCalculator!$B$12,G193+E194,BondCalculator!$B$12))</f>
        <v>25804.709809401418</v>
      </c>
      <c r="E194" s="20">
        <f>C194*BondCalculator!$B$5/12</f>
        <v>9453.3406059202116</v>
      </c>
      <c r="F194" s="20">
        <f t="shared" si="21"/>
        <v>16351.369203481207</v>
      </c>
      <c r="G194" s="20">
        <f t="shared" si="22"/>
        <v>1014922.1514423601</v>
      </c>
      <c r="H194" s="26">
        <f t="shared" si="23"/>
        <v>0.40596886057694404</v>
      </c>
      <c r="J194" s="22">
        <f t="shared" si="24"/>
        <v>14165.114181101788</v>
      </c>
      <c r="K194" s="22">
        <f>IF(N193=0,0,IF(N193&lt;BondCalculator!$B$12+BondCalculator!$B$7,N193+L194,BondCalculator!$B$12+BondCalculator!$B$7))</f>
        <v>14294.96106109522</v>
      </c>
      <c r="L194" s="22">
        <f>J194*BondCalculator!$B$5/12</f>
        <v>129.84687999343305</v>
      </c>
      <c r="M194" s="22">
        <f t="shared" si="25"/>
        <v>14165.114181101788</v>
      </c>
      <c r="N194" s="22">
        <f t="shared" si="18"/>
        <v>0</v>
      </c>
      <c r="P194" s="22">
        <f t="shared" si="19"/>
        <v>9323.493725926779</v>
      </c>
      <c r="Q194" s="23">
        <f>-PV(BondCalculator!$B$9/12,B194,0,1,0)</f>
        <v>0.38572892286040633</v>
      </c>
      <c r="S194" s="24">
        <f t="shared" si="20"/>
        <v>3596.341192197493</v>
      </c>
    </row>
    <row r="195" spans="1:19" ht="16.05" customHeight="1" x14ac:dyDescent="0.25">
      <c r="A195" s="19" t="s">
        <v>113</v>
      </c>
      <c r="B195" s="35">
        <v>192</v>
      </c>
      <c r="C195" s="20">
        <f t="shared" si="26"/>
        <v>1014922.1514423601</v>
      </c>
      <c r="D195" s="20">
        <f>IF(G194=0,0,IF(G194&lt;BondCalculator!$B$12,G194+E195,BondCalculator!$B$12))</f>
        <v>25804.709809401418</v>
      </c>
      <c r="E195" s="20">
        <f>C195*BondCalculator!$B$5/12</f>
        <v>9303.4530548883013</v>
      </c>
      <c r="F195" s="20">
        <f t="shared" si="21"/>
        <v>16501.256754513117</v>
      </c>
      <c r="G195" s="20">
        <f t="shared" si="22"/>
        <v>998420.894687847</v>
      </c>
      <c r="H195" s="26">
        <f t="shared" si="23"/>
        <v>0.3993683578751388</v>
      </c>
      <c r="J195" s="22">
        <f t="shared" si="24"/>
        <v>0</v>
      </c>
      <c r="K195" s="22">
        <f>IF(N194=0,0,IF(N194&lt;BondCalculator!$B$12+BondCalculator!$B$7,N194+L195,BondCalculator!$B$12+BondCalculator!$B$7))</f>
        <v>0</v>
      </c>
      <c r="L195" s="22">
        <f>J195*BondCalculator!$B$5/12</f>
        <v>0</v>
      </c>
      <c r="M195" s="22">
        <f t="shared" si="25"/>
        <v>0</v>
      </c>
      <c r="N195" s="22">
        <f t="shared" si="18"/>
        <v>0</v>
      </c>
      <c r="P195" s="22">
        <f t="shared" si="19"/>
        <v>9303.4530548883013</v>
      </c>
      <c r="Q195" s="23">
        <f>-PV(BondCalculator!$B$9/12,B195,0,1,0)</f>
        <v>0.38380987349294166</v>
      </c>
      <c r="S195" s="24">
        <f t="shared" si="20"/>
        <v>3570.7571400442007</v>
      </c>
    </row>
    <row r="196" spans="1:19" ht="16.05" customHeight="1" x14ac:dyDescent="0.25">
      <c r="A196" s="19" t="s">
        <v>114</v>
      </c>
      <c r="B196" s="35">
        <v>193</v>
      </c>
      <c r="C196" s="20">
        <f t="shared" si="26"/>
        <v>998420.894687847</v>
      </c>
      <c r="D196" s="20">
        <f>IF(G195=0,0,IF(G195&lt;BondCalculator!$B$12,G195+E196,BondCalculator!$B$12))</f>
        <v>25804.709809401418</v>
      </c>
      <c r="E196" s="20">
        <f>C196*BondCalculator!$B$5/12</f>
        <v>9152.1915346385977</v>
      </c>
      <c r="F196" s="20">
        <f t="shared" si="21"/>
        <v>16652.518274762821</v>
      </c>
      <c r="G196" s="20">
        <f t="shared" si="22"/>
        <v>981768.37641308422</v>
      </c>
      <c r="H196" s="26">
        <f t="shared" si="23"/>
        <v>0.3927073505652337</v>
      </c>
      <c r="J196" s="22">
        <f t="shared" si="24"/>
        <v>0</v>
      </c>
      <c r="K196" s="22">
        <f>IF(N195=0,0,IF(N195&lt;BondCalculator!$B$12+BondCalculator!$B$7,N195+L196,BondCalculator!$B$12+BondCalculator!$B$7))</f>
        <v>0</v>
      </c>
      <c r="L196" s="22">
        <f>J196*BondCalculator!$B$5/12</f>
        <v>0</v>
      </c>
      <c r="M196" s="22">
        <f t="shared" si="25"/>
        <v>0</v>
      </c>
      <c r="N196" s="22">
        <f t="shared" ref="N196:N243" si="27">J196-M196</f>
        <v>0</v>
      </c>
      <c r="P196" s="22">
        <f t="shared" ref="P196:P243" si="28">E196-L196</f>
        <v>9152.1915346385977</v>
      </c>
      <c r="Q196" s="23">
        <f>-PV(BondCalculator!$B$9/12,B196,0,1,0)</f>
        <v>0.38190037163476781</v>
      </c>
      <c r="S196" s="24">
        <f t="shared" ref="S196:S259" si="29">P196*Q196</f>
        <v>3495.2253483510563</v>
      </c>
    </row>
    <row r="197" spans="1:19" ht="16.05" customHeight="1" x14ac:dyDescent="0.25">
      <c r="A197" s="19" t="s">
        <v>114</v>
      </c>
      <c r="B197" s="35">
        <v>194</v>
      </c>
      <c r="C197" s="20">
        <f t="shared" si="26"/>
        <v>981768.37641308422</v>
      </c>
      <c r="D197" s="20">
        <f>IF(G196=0,0,IF(G196&lt;BondCalculator!$B$12,G196+E197,BondCalculator!$B$12))</f>
        <v>25804.709809401418</v>
      </c>
      <c r="E197" s="20">
        <f>C197*BondCalculator!$B$5/12</f>
        <v>8999.5434504532732</v>
      </c>
      <c r="F197" s="20">
        <f t="shared" ref="F197:F243" si="30">D197-E197</f>
        <v>16805.166358948147</v>
      </c>
      <c r="G197" s="20">
        <f t="shared" ref="G197:G260" si="31">IF(ROUND(C197-F197,0)=0,0,C197-F197)</f>
        <v>964963.21005413611</v>
      </c>
      <c r="H197" s="26">
        <f t="shared" ref="H197:H260" si="32">G197/$C$4</f>
        <v>0.38598528402165444</v>
      </c>
      <c r="J197" s="22">
        <f t="shared" ref="J197:J243" si="33">IF(ROUND(N196,0)&gt;0,N196,0)</f>
        <v>0</v>
      </c>
      <c r="K197" s="22">
        <f>IF(N196=0,0,IF(N196&lt;BondCalculator!$B$12+BondCalculator!$B$7,N196+L197,BondCalculator!$B$12+BondCalculator!$B$7))</f>
        <v>0</v>
      </c>
      <c r="L197" s="22">
        <f>J197*BondCalculator!$B$5/12</f>
        <v>0</v>
      </c>
      <c r="M197" s="22">
        <f t="shared" ref="M197:M243" si="34">IF(K197-L197&gt;N196,N196,K197-L197)</f>
        <v>0</v>
      </c>
      <c r="N197" s="22">
        <f t="shared" si="27"/>
        <v>0</v>
      </c>
      <c r="P197" s="22">
        <f t="shared" si="28"/>
        <v>8999.5434504532732</v>
      </c>
      <c r="Q197" s="23">
        <f>-PV(BondCalculator!$B$9/12,B197,0,1,0)</f>
        <v>0.38000036978583873</v>
      </c>
      <c r="S197" s="24">
        <f t="shared" si="29"/>
        <v>3419.8298390759669</v>
      </c>
    </row>
    <row r="198" spans="1:19" ht="16.05" customHeight="1" x14ac:dyDescent="0.25">
      <c r="A198" s="19" t="s">
        <v>114</v>
      </c>
      <c r="B198" s="35">
        <v>195</v>
      </c>
      <c r="C198" s="20">
        <f t="shared" ref="C198:C261" si="35">IF(ROUND(G197,0)=0,0,G197)</f>
        <v>964963.21005413611</v>
      </c>
      <c r="D198" s="20">
        <f>IF(G197=0,0,IF(G197&lt;BondCalculator!$B$12,G197+E198,BondCalculator!$B$12))</f>
        <v>25804.709809401418</v>
      </c>
      <c r="E198" s="20">
        <f>C198*BondCalculator!$B$5/12</f>
        <v>8845.4960921629154</v>
      </c>
      <c r="F198" s="20">
        <f t="shared" si="30"/>
        <v>16959.213717238505</v>
      </c>
      <c r="G198" s="20">
        <f t="shared" si="31"/>
        <v>948003.9963368976</v>
      </c>
      <c r="H198" s="26">
        <f t="shared" si="32"/>
        <v>0.37920159853475904</v>
      </c>
      <c r="J198" s="22">
        <f t="shared" si="33"/>
        <v>0</v>
      </c>
      <c r="K198" s="22">
        <f>IF(N197=0,0,IF(N197&lt;BondCalculator!$B$12+BondCalculator!$B$7,N197+L198,BondCalculator!$B$12+BondCalculator!$B$7))</f>
        <v>0</v>
      </c>
      <c r="L198" s="22">
        <f>J198*BondCalculator!$B$5/12</f>
        <v>0</v>
      </c>
      <c r="M198" s="22">
        <f t="shared" si="34"/>
        <v>0</v>
      </c>
      <c r="N198" s="22">
        <f t="shared" si="27"/>
        <v>0</v>
      </c>
      <c r="P198" s="22">
        <f t="shared" si="28"/>
        <v>8845.4960921629154</v>
      </c>
      <c r="Q198" s="23">
        <f>-PV(BondCalculator!$B$9/12,B198,0,1,0)</f>
        <v>0.37810982068242655</v>
      </c>
      <c r="S198" s="24">
        <f t="shared" si="29"/>
        <v>3344.5689412548245</v>
      </c>
    </row>
    <row r="199" spans="1:19" ht="16.05" customHeight="1" x14ac:dyDescent="0.25">
      <c r="A199" s="19" t="s">
        <v>114</v>
      </c>
      <c r="B199" s="35">
        <v>196</v>
      </c>
      <c r="C199" s="20">
        <f t="shared" si="35"/>
        <v>948003.9963368976</v>
      </c>
      <c r="D199" s="20">
        <f>IF(G198=0,0,IF(G198&lt;BondCalculator!$B$12,G198+E199,BondCalculator!$B$12))</f>
        <v>25804.709809401418</v>
      </c>
      <c r="E199" s="20">
        <f>C199*BondCalculator!$B$5/12</f>
        <v>8690.036633088228</v>
      </c>
      <c r="F199" s="20">
        <f t="shared" si="30"/>
        <v>17114.67317631319</v>
      </c>
      <c r="G199" s="20">
        <f t="shared" si="31"/>
        <v>930889.32316058443</v>
      </c>
      <c r="H199" s="26">
        <f t="shared" si="32"/>
        <v>0.37235572926423377</v>
      </c>
      <c r="J199" s="22">
        <f t="shared" si="33"/>
        <v>0</v>
      </c>
      <c r="K199" s="22">
        <f>IF(N198=0,0,IF(N198&lt;BondCalculator!$B$12+BondCalculator!$B$7,N198+L199,BondCalculator!$B$12+BondCalculator!$B$7))</f>
        <v>0</v>
      </c>
      <c r="L199" s="22">
        <f>J199*BondCalculator!$B$5/12</f>
        <v>0</v>
      </c>
      <c r="M199" s="22">
        <f t="shared" si="34"/>
        <v>0</v>
      </c>
      <c r="N199" s="22">
        <f t="shared" si="27"/>
        <v>0</v>
      </c>
      <c r="P199" s="22">
        <f t="shared" si="28"/>
        <v>8690.036633088228</v>
      </c>
      <c r="Q199" s="23">
        <f>-PV(BondCalculator!$B$9/12,B199,0,1,0)</f>
        <v>0.37622867729594694</v>
      </c>
      <c r="S199" s="24">
        <f t="shared" si="29"/>
        <v>3269.4409881201082</v>
      </c>
    </row>
    <row r="200" spans="1:19" ht="16.05" customHeight="1" x14ac:dyDescent="0.25">
      <c r="A200" s="19" t="s">
        <v>114</v>
      </c>
      <c r="B200" s="35">
        <v>197</v>
      </c>
      <c r="C200" s="20">
        <f t="shared" si="35"/>
        <v>930889.32316058443</v>
      </c>
      <c r="D200" s="20">
        <f>IF(G199=0,0,IF(G199&lt;BondCalculator!$B$12,G199+E200,BondCalculator!$B$12))</f>
        <v>25804.709809401418</v>
      </c>
      <c r="E200" s="20">
        <f>C200*BondCalculator!$B$5/12</f>
        <v>8533.152128972024</v>
      </c>
      <c r="F200" s="20">
        <f t="shared" si="30"/>
        <v>17271.557680429396</v>
      </c>
      <c r="G200" s="20">
        <f t="shared" si="31"/>
        <v>913617.76548015501</v>
      </c>
      <c r="H200" s="26">
        <f t="shared" si="32"/>
        <v>0.365447106192062</v>
      </c>
      <c r="J200" s="22">
        <f t="shared" si="33"/>
        <v>0</v>
      </c>
      <c r="K200" s="22">
        <f>IF(N199=0,0,IF(N199&lt;BondCalculator!$B$12+BondCalculator!$B$7,N199+L200,BondCalculator!$B$12+BondCalculator!$B$7))</f>
        <v>0</v>
      </c>
      <c r="L200" s="22">
        <f>J200*BondCalculator!$B$5/12</f>
        <v>0</v>
      </c>
      <c r="M200" s="22">
        <f t="shared" si="34"/>
        <v>0</v>
      </c>
      <c r="N200" s="22">
        <f t="shared" si="27"/>
        <v>0</v>
      </c>
      <c r="P200" s="22">
        <f t="shared" si="28"/>
        <v>8533.152128972024</v>
      </c>
      <c r="Q200" s="23">
        <f>-PV(BondCalculator!$B$9/12,B200,0,1,0)</f>
        <v>0.37435689283178814</v>
      </c>
      <c r="S200" s="24">
        <f t="shared" si="29"/>
        <v>3194.4443170629247</v>
      </c>
    </row>
    <row r="201" spans="1:19" ht="16.05" customHeight="1" x14ac:dyDescent="0.25">
      <c r="A201" s="19" t="s">
        <v>114</v>
      </c>
      <c r="B201" s="35">
        <v>198</v>
      </c>
      <c r="C201" s="20">
        <f t="shared" si="35"/>
        <v>913617.76548015501</v>
      </c>
      <c r="D201" s="20">
        <f>IF(G200=0,0,IF(G200&lt;BondCalculator!$B$12,G200+E201,BondCalculator!$B$12))</f>
        <v>25804.709809401418</v>
      </c>
      <c r="E201" s="20">
        <f>C201*BondCalculator!$B$5/12</f>
        <v>8374.8295169014218</v>
      </c>
      <c r="F201" s="20">
        <f t="shared" si="30"/>
        <v>17429.880292499998</v>
      </c>
      <c r="G201" s="20">
        <f t="shared" si="31"/>
        <v>896187.88518765499</v>
      </c>
      <c r="H201" s="26">
        <f t="shared" si="32"/>
        <v>0.35847515407506197</v>
      </c>
      <c r="J201" s="22">
        <f t="shared" si="33"/>
        <v>0</v>
      </c>
      <c r="K201" s="22">
        <f>IF(N200=0,0,IF(N200&lt;BondCalculator!$B$12+BondCalculator!$B$7,N200+L201,BondCalculator!$B$12+BondCalculator!$B$7))</f>
        <v>0</v>
      </c>
      <c r="L201" s="22">
        <f>J201*BondCalculator!$B$5/12</f>
        <v>0</v>
      </c>
      <c r="M201" s="22">
        <f t="shared" si="34"/>
        <v>0</v>
      </c>
      <c r="N201" s="22">
        <f t="shared" si="27"/>
        <v>0</v>
      </c>
      <c r="P201" s="22">
        <f t="shared" si="28"/>
        <v>8374.8295169014218</v>
      </c>
      <c r="Q201" s="23">
        <f>-PV(BondCalculator!$B$9/12,B201,0,1,0)</f>
        <v>0.37249442072814742</v>
      </c>
      <c r="S201" s="24">
        <f t="shared" si="29"/>
        <v>3119.577269595186</v>
      </c>
    </row>
    <row r="202" spans="1:19" ht="16.05" customHeight="1" x14ac:dyDescent="0.25">
      <c r="A202" s="19" t="s">
        <v>114</v>
      </c>
      <c r="B202" s="35">
        <v>199</v>
      </c>
      <c r="C202" s="20">
        <f t="shared" si="35"/>
        <v>896187.88518765499</v>
      </c>
      <c r="D202" s="20">
        <f>IF(G201=0,0,IF(G201&lt;BondCalculator!$B$12,G201+E202,BondCalculator!$B$12))</f>
        <v>25804.709809401418</v>
      </c>
      <c r="E202" s="20">
        <f>C202*BondCalculator!$B$5/12</f>
        <v>8215.0556142201713</v>
      </c>
      <c r="F202" s="20">
        <f t="shared" si="30"/>
        <v>17589.654195181247</v>
      </c>
      <c r="G202" s="20">
        <f t="shared" si="31"/>
        <v>878598.23099247378</v>
      </c>
      <c r="H202" s="26">
        <f t="shared" si="32"/>
        <v>0.35143929239698951</v>
      </c>
      <c r="J202" s="22">
        <f t="shared" si="33"/>
        <v>0</v>
      </c>
      <c r="K202" s="22">
        <f>IF(N201=0,0,IF(N201&lt;BondCalculator!$B$12+BondCalculator!$B$7,N201+L202,BondCalculator!$B$12+BondCalculator!$B$7))</f>
        <v>0</v>
      </c>
      <c r="L202" s="22">
        <f>J202*BondCalculator!$B$5/12</f>
        <v>0</v>
      </c>
      <c r="M202" s="22">
        <f t="shared" si="34"/>
        <v>0</v>
      </c>
      <c r="N202" s="22">
        <f t="shared" si="27"/>
        <v>0</v>
      </c>
      <c r="P202" s="22">
        <f t="shared" si="28"/>
        <v>8215.0556142201713</v>
      </c>
      <c r="Q202" s="23">
        <f>-PV(BondCalculator!$B$9/12,B202,0,1,0)</f>
        <v>0.3706412146548731</v>
      </c>
      <c r="S202" s="24">
        <f t="shared" si="29"/>
        <v>3044.8381913118988</v>
      </c>
    </row>
    <row r="203" spans="1:19" ht="16.05" customHeight="1" x14ac:dyDescent="0.25">
      <c r="A203" s="19" t="s">
        <v>114</v>
      </c>
      <c r="B203" s="35">
        <v>200</v>
      </c>
      <c r="C203" s="20">
        <f t="shared" si="35"/>
        <v>878598.23099247378</v>
      </c>
      <c r="D203" s="20">
        <f>IF(G202=0,0,IF(G202&lt;BondCalculator!$B$12,G202+E203,BondCalculator!$B$12))</f>
        <v>25804.709809401418</v>
      </c>
      <c r="E203" s="20">
        <f>C203*BondCalculator!$B$5/12</f>
        <v>8053.8171174310091</v>
      </c>
      <c r="F203" s="20">
        <f t="shared" si="30"/>
        <v>17750.89269197041</v>
      </c>
      <c r="G203" s="20">
        <f t="shared" si="31"/>
        <v>860847.33830050332</v>
      </c>
      <c r="H203" s="26">
        <f t="shared" si="32"/>
        <v>0.34433893532020132</v>
      </c>
      <c r="J203" s="22">
        <f t="shared" si="33"/>
        <v>0</v>
      </c>
      <c r="K203" s="22">
        <f>IF(N202=0,0,IF(N202&lt;BondCalculator!$B$12+BondCalculator!$B$7,N202+L203,BondCalculator!$B$12+BondCalculator!$B$7))</f>
        <v>0</v>
      </c>
      <c r="L203" s="22">
        <f>J203*BondCalculator!$B$5/12</f>
        <v>0</v>
      </c>
      <c r="M203" s="22">
        <f t="shared" si="34"/>
        <v>0</v>
      </c>
      <c r="N203" s="22">
        <f t="shared" si="27"/>
        <v>0</v>
      </c>
      <c r="P203" s="22">
        <f t="shared" si="28"/>
        <v>8053.8171174310091</v>
      </c>
      <c r="Q203" s="23">
        <f>-PV(BondCalculator!$B$9/12,B203,0,1,0)</f>
        <v>0.36879722851231156</v>
      </c>
      <c r="S203" s="24">
        <f t="shared" si="29"/>
        <v>2970.2254318535702</v>
      </c>
    </row>
    <row r="204" spans="1:19" ht="16.05" customHeight="1" x14ac:dyDescent="0.25">
      <c r="A204" s="19" t="s">
        <v>114</v>
      </c>
      <c r="B204" s="35">
        <v>201</v>
      </c>
      <c r="C204" s="20">
        <f t="shared" si="35"/>
        <v>860847.33830050332</v>
      </c>
      <c r="D204" s="20">
        <f>IF(G203=0,0,IF(G203&lt;BondCalculator!$B$12,G203+E204,BondCalculator!$B$12))</f>
        <v>25804.709809401418</v>
      </c>
      <c r="E204" s="20">
        <f>C204*BondCalculator!$B$5/12</f>
        <v>7891.1006010879473</v>
      </c>
      <c r="F204" s="20">
        <f t="shared" si="30"/>
        <v>17913.609208313472</v>
      </c>
      <c r="G204" s="20">
        <f t="shared" si="31"/>
        <v>842933.72909218981</v>
      </c>
      <c r="H204" s="26">
        <f t="shared" si="32"/>
        <v>0.33717349163687593</v>
      </c>
      <c r="J204" s="22">
        <f t="shared" si="33"/>
        <v>0</v>
      </c>
      <c r="K204" s="22">
        <f>IF(N203=0,0,IF(N203&lt;BondCalculator!$B$12+BondCalculator!$B$7,N203+L204,BondCalculator!$B$12+BondCalculator!$B$7))</f>
        <v>0</v>
      </c>
      <c r="L204" s="22">
        <f>J204*BondCalculator!$B$5/12</f>
        <v>0</v>
      </c>
      <c r="M204" s="22">
        <f t="shared" si="34"/>
        <v>0</v>
      </c>
      <c r="N204" s="22">
        <f t="shared" si="27"/>
        <v>0</v>
      </c>
      <c r="P204" s="22">
        <f t="shared" si="28"/>
        <v>7891.1006010879473</v>
      </c>
      <c r="Q204" s="23">
        <f>-PV(BondCalculator!$B$9/12,B204,0,1,0)</f>
        <v>0.36696241643016075</v>
      </c>
      <c r="S204" s="24">
        <f t="shared" si="29"/>
        <v>2895.7373448687272</v>
      </c>
    </row>
    <row r="205" spans="1:19" ht="16.05" customHeight="1" x14ac:dyDescent="0.25">
      <c r="A205" s="19" t="s">
        <v>114</v>
      </c>
      <c r="B205" s="35">
        <v>202</v>
      </c>
      <c r="C205" s="20">
        <f t="shared" si="35"/>
        <v>842933.72909218981</v>
      </c>
      <c r="D205" s="20">
        <f>IF(G204=0,0,IF(G204&lt;BondCalculator!$B$12,G204+E205,BondCalculator!$B$12))</f>
        <v>25804.709809401418</v>
      </c>
      <c r="E205" s="20">
        <f>C205*BondCalculator!$B$5/12</f>
        <v>7726.8925166784065</v>
      </c>
      <c r="F205" s="20">
        <f t="shared" si="30"/>
        <v>18077.817292723012</v>
      </c>
      <c r="G205" s="20">
        <f t="shared" si="31"/>
        <v>824855.91179946682</v>
      </c>
      <c r="H205" s="26">
        <f t="shared" si="32"/>
        <v>0.32994236471978672</v>
      </c>
      <c r="J205" s="22">
        <f t="shared" si="33"/>
        <v>0</v>
      </c>
      <c r="K205" s="22">
        <f>IF(N204=0,0,IF(N204&lt;BondCalculator!$B$12+BondCalculator!$B$7,N204+L205,BondCalculator!$B$12+BondCalculator!$B$7))</f>
        <v>0</v>
      </c>
      <c r="L205" s="22">
        <f>J205*BondCalculator!$B$5/12</f>
        <v>0</v>
      </c>
      <c r="M205" s="22">
        <f t="shared" si="34"/>
        <v>0</v>
      </c>
      <c r="N205" s="22">
        <f t="shared" si="27"/>
        <v>0</v>
      </c>
      <c r="P205" s="22">
        <f t="shared" si="28"/>
        <v>7726.8925166784065</v>
      </c>
      <c r="Q205" s="23">
        <f>-PV(BondCalculator!$B$9/12,B205,0,1,0)</f>
        <v>0.36513673276632924</v>
      </c>
      <c r="S205" s="24">
        <f t="shared" si="29"/>
        <v>2821.3722879765523</v>
      </c>
    </row>
    <row r="206" spans="1:19" ht="16.05" customHeight="1" x14ac:dyDescent="0.25">
      <c r="A206" s="19" t="s">
        <v>114</v>
      </c>
      <c r="B206" s="35">
        <v>203</v>
      </c>
      <c r="C206" s="20">
        <f t="shared" si="35"/>
        <v>824855.91179946682</v>
      </c>
      <c r="D206" s="20">
        <f>IF(G205=0,0,IF(G205&lt;BondCalculator!$B$12,G205+E206,BondCalculator!$B$12))</f>
        <v>25804.709809401418</v>
      </c>
      <c r="E206" s="20">
        <f>C206*BondCalculator!$B$5/12</f>
        <v>7561.1791914951127</v>
      </c>
      <c r="F206" s="20">
        <f t="shared" si="30"/>
        <v>18243.530617906305</v>
      </c>
      <c r="G206" s="20">
        <f t="shared" si="31"/>
        <v>806612.38118156046</v>
      </c>
      <c r="H206" s="26">
        <f t="shared" si="32"/>
        <v>0.3226449524726242</v>
      </c>
      <c r="J206" s="22">
        <f t="shared" si="33"/>
        <v>0</v>
      </c>
      <c r="K206" s="22">
        <f>IF(N205=0,0,IF(N205&lt;BondCalculator!$B$12+BondCalculator!$B$7,N205+L206,BondCalculator!$B$12+BondCalculator!$B$7))</f>
        <v>0</v>
      </c>
      <c r="L206" s="22">
        <f>J206*BondCalculator!$B$5/12</f>
        <v>0</v>
      </c>
      <c r="M206" s="22">
        <f t="shared" si="34"/>
        <v>0</v>
      </c>
      <c r="N206" s="22">
        <f t="shared" si="27"/>
        <v>0</v>
      </c>
      <c r="P206" s="22">
        <f t="shared" si="28"/>
        <v>7561.1791914951127</v>
      </c>
      <c r="Q206" s="23">
        <f>-PV(BondCalculator!$B$9/12,B206,0,1,0)</f>
        <v>0.36332013210580028</v>
      </c>
      <c r="S206" s="24">
        <f t="shared" si="29"/>
        <v>2747.1286227296323</v>
      </c>
    </row>
    <row r="207" spans="1:19" ht="16.05" customHeight="1" x14ac:dyDescent="0.25">
      <c r="A207" s="19" t="s">
        <v>114</v>
      </c>
      <c r="B207" s="35">
        <v>204</v>
      </c>
      <c r="C207" s="20">
        <f t="shared" si="35"/>
        <v>806612.38118156046</v>
      </c>
      <c r="D207" s="20">
        <f>IF(G206=0,0,IF(G206&lt;BondCalculator!$B$12,G206+E207,BondCalculator!$B$12))</f>
        <v>25804.709809401418</v>
      </c>
      <c r="E207" s="20">
        <f>C207*BondCalculator!$B$5/12</f>
        <v>7393.946827497638</v>
      </c>
      <c r="F207" s="20">
        <f t="shared" si="30"/>
        <v>18410.762981903779</v>
      </c>
      <c r="G207" s="20">
        <f t="shared" si="31"/>
        <v>788201.61819965672</v>
      </c>
      <c r="H207" s="26">
        <f t="shared" si="32"/>
        <v>0.31528064727986271</v>
      </c>
      <c r="J207" s="22">
        <f t="shared" si="33"/>
        <v>0</v>
      </c>
      <c r="K207" s="22">
        <f>IF(N206=0,0,IF(N206&lt;BondCalculator!$B$12+BondCalculator!$B$7,N206+L207,BondCalculator!$B$12+BondCalculator!$B$7))</f>
        <v>0</v>
      </c>
      <c r="L207" s="22">
        <f>J207*BondCalculator!$B$5/12</f>
        <v>0</v>
      </c>
      <c r="M207" s="22">
        <f t="shared" si="34"/>
        <v>0</v>
      </c>
      <c r="N207" s="22">
        <f t="shared" si="27"/>
        <v>0</v>
      </c>
      <c r="P207" s="22">
        <f t="shared" si="28"/>
        <v>7393.946827497638</v>
      </c>
      <c r="Q207" s="23">
        <f>-PV(BondCalculator!$B$9/12,B207,0,1,0)</f>
        <v>0.36151256925950287</v>
      </c>
      <c r="S207" s="24">
        <f t="shared" si="29"/>
        <v>2673.0047145768212</v>
      </c>
    </row>
    <row r="208" spans="1:19" ht="16.05" customHeight="1" x14ac:dyDescent="0.25">
      <c r="A208" s="19" t="s">
        <v>115</v>
      </c>
      <c r="B208" s="35">
        <v>205</v>
      </c>
      <c r="C208" s="20">
        <f t="shared" si="35"/>
        <v>788201.61819965672</v>
      </c>
      <c r="D208" s="20">
        <f>IF(G207=0,0,IF(G207&lt;BondCalculator!$B$12,G207+E208,BondCalculator!$B$12))</f>
        <v>25804.709809401418</v>
      </c>
      <c r="E208" s="20">
        <f>C208*BondCalculator!$B$5/12</f>
        <v>7225.1815001635196</v>
      </c>
      <c r="F208" s="20">
        <f t="shared" si="30"/>
        <v>18579.5283092379</v>
      </c>
      <c r="G208" s="20">
        <f t="shared" si="31"/>
        <v>769622.08989041881</v>
      </c>
      <c r="H208" s="26">
        <f t="shared" si="32"/>
        <v>0.30784883595616752</v>
      </c>
      <c r="J208" s="22">
        <f t="shared" si="33"/>
        <v>0</v>
      </c>
      <c r="K208" s="22">
        <f>IF(N207=0,0,IF(N207&lt;BondCalculator!$B$12+BondCalculator!$B$7,N207+L208,BondCalculator!$B$12+BondCalculator!$B$7))</f>
        <v>0</v>
      </c>
      <c r="L208" s="22">
        <f>J208*BondCalculator!$B$5/12</f>
        <v>0</v>
      </c>
      <c r="M208" s="22">
        <f t="shared" si="34"/>
        <v>0</v>
      </c>
      <c r="N208" s="22">
        <f t="shared" si="27"/>
        <v>0</v>
      </c>
      <c r="P208" s="22">
        <f t="shared" si="28"/>
        <v>7225.1815001635196</v>
      </c>
      <c r="Q208" s="23">
        <f>-PV(BondCalculator!$B$9/12,B208,0,1,0)</f>
        <v>0.35971399926318692</v>
      </c>
      <c r="S208" s="24">
        <f t="shared" si="29"/>
        <v>2598.9989328262122</v>
      </c>
    </row>
    <row r="209" spans="1:19" ht="16.05" customHeight="1" x14ac:dyDescent="0.25">
      <c r="A209" s="19" t="s">
        <v>115</v>
      </c>
      <c r="B209" s="35">
        <v>206</v>
      </c>
      <c r="C209" s="20">
        <f t="shared" si="35"/>
        <v>769622.08989041881</v>
      </c>
      <c r="D209" s="20">
        <f>IF(G208=0,0,IF(G208&lt;BondCalculator!$B$12,G208+E209,BondCalculator!$B$12))</f>
        <v>25804.709809401418</v>
      </c>
      <c r="E209" s="20">
        <f>C209*BondCalculator!$B$5/12</f>
        <v>7054.8691573288388</v>
      </c>
      <c r="F209" s="20">
        <f t="shared" si="30"/>
        <v>18749.84065207258</v>
      </c>
      <c r="G209" s="20">
        <f t="shared" si="31"/>
        <v>750872.24923834624</v>
      </c>
      <c r="H209" s="26">
        <f t="shared" si="32"/>
        <v>0.30034889969533851</v>
      </c>
      <c r="J209" s="22">
        <f t="shared" si="33"/>
        <v>0</v>
      </c>
      <c r="K209" s="22">
        <f>IF(N208=0,0,IF(N208&lt;BondCalculator!$B$12+BondCalculator!$B$7,N208+L209,BondCalculator!$B$12+BondCalculator!$B$7))</f>
        <v>0</v>
      </c>
      <c r="L209" s="22">
        <f>J209*BondCalculator!$B$5/12</f>
        <v>0</v>
      </c>
      <c r="M209" s="22">
        <f t="shared" si="34"/>
        <v>0</v>
      </c>
      <c r="N209" s="22">
        <f t="shared" si="27"/>
        <v>0</v>
      </c>
      <c r="P209" s="22">
        <f t="shared" si="28"/>
        <v>7054.8691573288388</v>
      </c>
      <c r="Q209" s="23">
        <f>-PV(BondCalculator!$B$9/12,B209,0,1,0)</f>
        <v>0.3579243773763055</v>
      </c>
      <c r="S209" s="24">
        <f t="shared" si="29"/>
        <v>2525.1096506082258</v>
      </c>
    </row>
    <row r="210" spans="1:19" ht="16.05" customHeight="1" x14ac:dyDescent="0.25">
      <c r="A210" s="19" t="s">
        <v>115</v>
      </c>
      <c r="B210" s="35">
        <v>207</v>
      </c>
      <c r="C210" s="20">
        <f t="shared" si="35"/>
        <v>750872.24923834624</v>
      </c>
      <c r="D210" s="20">
        <f>IF(G209=0,0,IF(G209&lt;BondCalculator!$B$12,G209+E210,BondCalculator!$B$12))</f>
        <v>25804.709809401418</v>
      </c>
      <c r="E210" s="20">
        <f>C210*BondCalculator!$B$5/12</f>
        <v>6882.9956180181734</v>
      </c>
      <c r="F210" s="20">
        <f t="shared" si="30"/>
        <v>18921.714191383246</v>
      </c>
      <c r="G210" s="20">
        <f t="shared" si="31"/>
        <v>731950.53504696302</v>
      </c>
      <c r="H210" s="26">
        <f t="shared" si="32"/>
        <v>0.29278021401878523</v>
      </c>
      <c r="J210" s="22">
        <f t="shared" si="33"/>
        <v>0</v>
      </c>
      <c r="K210" s="22">
        <f>IF(N209=0,0,IF(N209&lt;BondCalculator!$B$12+BondCalculator!$B$7,N209+L210,BondCalculator!$B$12+BondCalculator!$B$7))</f>
        <v>0</v>
      </c>
      <c r="L210" s="22">
        <f>J210*BondCalculator!$B$5/12</f>
        <v>0</v>
      </c>
      <c r="M210" s="22">
        <f t="shared" si="34"/>
        <v>0</v>
      </c>
      <c r="N210" s="22">
        <f t="shared" si="27"/>
        <v>0</v>
      </c>
      <c r="P210" s="22">
        <f t="shared" si="28"/>
        <v>6882.9956180181734</v>
      </c>
      <c r="Q210" s="23">
        <f>-PV(BondCalculator!$B$9/12,B210,0,1,0)</f>
        <v>0.35614365908090112</v>
      </c>
      <c r="S210" s="24">
        <f t="shared" si="29"/>
        <v>2451.3352448388005</v>
      </c>
    </row>
    <row r="211" spans="1:19" ht="16.05" customHeight="1" x14ac:dyDescent="0.25">
      <c r="A211" s="19" t="s">
        <v>115</v>
      </c>
      <c r="B211" s="35">
        <v>208</v>
      </c>
      <c r="C211" s="20">
        <f t="shared" si="35"/>
        <v>731950.53504696302</v>
      </c>
      <c r="D211" s="20">
        <f>IF(G210=0,0,IF(G210&lt;BondCalculator!$B$12,G210+E211,BondCalculator!$B$12))</f>
        <v>25804.709809401418</v>
      </c>
      <c r="E211" s="20">
        <f>C211*BondCalculator!$B$5/12</f>
        <v>6709.5465712638279</v>
      </c>
      <c r="F211" s="20">
        <f t="shared" si="30"/>
        <v>19095.163238137589</v>
      </c>
      <c r="G211" s="20">
        <f t="shared" si="31"/>
        <v>712855.37180882541</v>
      </c>
      <c r="H211" s="26">
        <f t="shared" si="32"/>
        <v>0.28514214872353016</v>
      </c>
      <c r="J211" s="22">
        <f t="shared" si="33"/>
        <v>0</v>
      </c>
      <c r="K211" s="22">
        <f>IF(N210=0,0,IF(N210&lt;BondCalculator!$B$12+BondCalculator!$B$7,N210+L211,BondCalculator!$B$12+BondCalculator!$B$7))</f>
        <v>0</v>
      </c>
      <c r="L211" s="22">
        <f>J211*BondCalculator!$B$5/12</f>
        <v>0</v>
      </c>
      <c r="M211" s="22">
        <f t="shared" si="34"/>
        <v>0</v>
      </c>
      <c r="N211" s="22">
        <f t="shared" si="27"/>
        <v>0</v>
      </c>
      <c r="P211" s="22">
        <f t="shared" si="28"/>
        <v>6709.5465712638279</v>
      </c>
      <c r="Q211" s="23">
        <f>-PV(BondCalculator!$B$9/12,B211,0,1,0)</f>
        <v>0.35437180008049862</v>
      </c>
      <c r="S211" s="24">
        <f t="shared" si="29"/>
        <v>2377.6740961827004</v>
      </c>
    </row>
    <row r="212" spans="1:19" ht="16.05" customHeight="1" x14ac:dyDescent="0.25">
      <c r="A212" s="19" t="s">
        <v>115</v>
      </c>
      <c r="B212" s="35">
        <v>209</v>
      </c>
      <c r="C212" s="20">
        <f t="shared" si="35"/>
        <v>712855.37180882541</v>
      </c>
      <c r="D212" s="20">
        <f>IF(G211=0,0,IF(G211&lt;BondCalculator!$B$12,G211+E212,BondCalculator!$B$12))</f>
        <v>25804.709809401418</v>
      </c>
      <c r="E212" s="20">
        <f>C212*BondCalculator!$B$5/12</f>
        <v>6534.5075749142334</v>
      </c>
      <c r="F212" s="20">
        <f t="shared" si="30"/>
        <v>19270.202234487184</v>
      </c>
      <c r="G212" s="20">
        <f t="shared" si="31"/>
        <v>693585.16957433824</v>
      </c>
      <c r="H212" s="26">
        <f t="shared" si="32"/>
        <v>0.27743406782973529</v>
      </c>
      <c r="J212" s="22">
        <f t="shared" si="33"/>
        <v>0</v>
      </c>
      <c r="K212" s="22">
        <f>IF(N211=0,0,IF(N211&lt;BondCalculator!$B$12+BondCalculator!$B$7,N211+L212,BondCalculator!$B$12+BondCalculator!$B$7))</f>
        <v>0</v>
      </c>
      <c r="L212" s="22">
        <f>J212*BondCalculator!$B$5/12</f>
        <v>0</v>
      </c>
      <c r="M212" s="22">
        <f t="shared" si="34"/>
        <v>0</v>
      </c>
      <c r="N212" s="22">
        <f t="shared" si="27"/>
        <v>0</v>
      </c>
      <c r="P212" s="22">
        <f t="shared" si="28"/>
        <v>6534.5075749142334</v>
      </c>
      <c r="Q212" s="23">
        <f>-PV(BondCalculator!$B$9/12,B212,0,1,0)</f>
        <v>0.35260875629900362</v>
      </c>
      <c r="S212" s="24">
        <f t="shared" si="29"/>
        <v>2304.1245890169262</v>
      </c>
    </row>
    <row r="213" spans="1:19" ht="16.05" customHeight="1" x14ac:dyDescent="0.25">
      <c r="A213" s="19" t="s">
        <v>115</v>
      </c>
      <c r="B213" s="35">
        <v>210</v>
      </c>
      <c r="C213" s="20">
        <f t="shared" si="35"/>
        <v>693585.16957433824</v>
      </c>
      <c r="D213" s="20">
        <f>IF(G212=0,0,IF(G212&lt;BondCalculator!$B$12,G212+E213,BondCalculator!$B$12))</f>
        <v>25804.709809401418</v>
      </c>
      <c r="E213" s="20">
        <f>C213*BondCalculator!$B$5/12</f>
        <v>6357.8640544314339</v>
      </c>
      <c r="F213" s="20">
        <f t="shared" si="30"/>
        <v>19446.845754969985</v>
      </c>
      <c r="G213" s="20">
        <f t="shared" si="31"/>
        <v>674138.32381936826</v>
      </c>
      <c r="H213" s="26">
        <f t="shared" si="32"/>
        <v>0.26965532952774729</v>
      </c>
      <c r="J213" s="22">
        <f t="shared" si="33"/>
        <v>0</v>
      </c>
      <c r="K213" s="22">
        <f>IF(N212=0,0,IF(N212&lt;BondCalculator!$B$12+BondCalculator!$B$7,N212+L213,BondCalculator!$B$12+BondCalculator!$B$7))</f>
        <v>0</v>
      </c>
      <c r="L213" s="22">
        <f>J213*BondCalculator!$B$5/12</f>
        <v>0</v>
      </c>
      <c r="M213" s="22">
        <f t="shared" si="34"/>
        <v>0</v>
      </c>
      <c r="N213" s="22">
        <f t="shared" si="27"/>
        <v>0</v>
      </c>
      <c r="P213" s="22">
        <f t="shared" si="28"/>
        <v>6357.8640544314339</v>
      </c>
      <c r="Q213" s="23">
        <f>-PV(BondCalculator!$B$9/12,B213,0,1,0)</f>
        <v>0.35085448387960572</v>
      </c>
      <c r="S213" s="24">
        <f t="shared" si="29"/>
        <v>2230.685111394238</v>
      </c>
    </row>
    <row r="214" spans="1:19" ht="16.05" customHeight="1" x14ac:dyDescent="0.25">
      <c r="A214" s="19" t="s">
        <v>115</v>
      </c>
      <c r="B214" s="35">
        <v>211</v>
      </c>
      <c r="C214" s="20">
        <f t="shared" si="35"/>
        <v>674138.32381936826</v>
      </c>
      <c r="D214" s="20">
        <f>IF(G213=0,0,IF(G213&lt;BondCalculator!$B$12,G213+E214,BondCalculator!$B$12))</f>
        <v>25804.709809401418</v>
      </c>
      <c r="E214" s="20">
        <f>C214*BondCalculator!$B$5/12</f>
        <v>6179.6013016775423</v>
      </c>
      <c r="F214" s="20">
        <f t="shared" si="30"/>
        <v>19625.108507723875</v>
      </c>
      <c r="G214" s="20">
        <f t="shared" si="31"/>
        <v>654513.21531164437</v>
      </c>
      <c r="H214" s="26">
        <f t="shared" si="32"/>
        <v>0.26180528612465775</v>
      </c>
      <c r="J214" s="22">
        <f t="shared" si="33"/>
        <v>0</v>
      </c>
      <c r="K214" s="22">
        <f>IF(N213=0,0,IF(N213&lt;BondCalculator!$B$12+BondCalculator!$B$7,N213+L214,BondCalculator!$B$12+BondCalculator!$B$7))</f>
        <v>0</v>
      </c>
      <c r="L214" s="22">
        <f>J214*BondCalculator!$B$5/12</f>
        <v>0</v>
      </c>
      <c r="M214" s="22">
        <f t="shared" si="34"/>
        <v>0</v>
      </c>
      <c r="N214" s="22">
        <f t="shared" si="27"/>
        <v>0</v>
      </c>
      <c r="P214" s="22">
        <f t="shared" si="28"/>
        <v>6179.6013016775423</v>
      </c>
      <c r="Q214" s="23">
        <f>-PV(BondCalculator!$B$9/12,B214,0,1,0)</f>
        <v>0.34910893918368724</v>
      </c>
      <c r="S214" s="24">
        <f t="shared" si="29"/>
        <v>2157.3540550067796</v>
      </c>
    </row>
    <row r="215" spans="1:19" ht="16.05" customHeight="1" x14ac:dyDescent="0.25">
      <c r="A215" s="19" t="s">
        <v>115</v>
      </c>
      <c r="B215" s="35">
        <v>212</v>
      </c>
      <c r="C215" s="20">
        <f t="shared" si="35"/>
        <v>654513.21531164437</v>
      </c>
      <c r="D215" s="20">
        <f>IF(G214=0,0,IF(G214&lt;BondCalculator!$B$12,G214+E215,BondCalculator!$B$12))</f>
        <v>25804.709809401418</v>
      </c>
      <c r="E215" s="20">
        <f>C215*BondCalculator!$B$5/12</f>
        <v>5999.7044736900725</v>
      </c>
      <c r="F215" s="20">
        <f t="shared" si="30"/>
        <v>19805.005335711347</v>
      </c>
      <c r="G215" s="20">
        <f t="shared" si="31"/>
        <v>634708.20997593307</v>
      </c>
      <c r="H215" s="26">
        <f t="shared" si="32"/>
        <v>0.25388328399037324</v>
      </c>
      <c r="J215" s="22">
        <f t="shared" si="33"/>
        <v>0</v>
      </c>
      <c r="K215" s="22">
        <f>IF(N214=0,0,IF(N214&lt;BondCalculator!$B$12+BondCalculator!$B$7,N214+L215,BondCalculator!$B$12+BondCalculator!$B$7))</f>
        <v>0</v>
      </c>
      <c r="L215" s="22">
        <f>J215*BondCalculator!$B$5/12</f>
        <v>0</v>
      </c>
      <c r="M215" s="22">
        <f t="shared" si="34"/>
        <v>0</v>
      </c>
      <c r="N215" s="22">
        <f t="shared" si="27"/>
        <v>0</v>
      </c>
      <c r="P215" s="22">
        <f t="shared" si="28"/>
        <v>5999.7044736900725</v>
      </c>
      <c r="Q215" s="23">
        <f>-PV(BondCalculator!$B$9/12,B215,0,1,0)</f>
        <v>0.34737207878973864</v>
      </c>
      <c r="S215" s="24">
        <f t="shared" si="29"/>
        <v>2084.1298151498154</v>
      </c>
    </row>
    <row r="216" spans="1:19" ht="16.05" customHeight="1" x14ac:dyDescent="0.25">
      <c r="A216" s="19" t="s">
        <v>115</v>
      </c>
      <c r="B216" s="35">
        <v>213</v>
      </c>
      <c r="C216" s="20">
        <f t="shared" si="35"/>
        <v>634708.20997593307</v>
      </c>
      <c r="D216" s="20">
        <f>IF(G215=0,0,IF(G215&lt;BondCalculator!$B$12,G215+E216,BondCalculator!$B$12))</f>
        <v>25804.709809401418</v>
      </c>
      <c r="E216" s="20">
        <f>C216*BondCalculator!$B$5/12</f>
        <v>5818.1585914460529</v>
      </c>
      <c r="F216" s="20">
        <f t="shared" si="30"/>
        <v>19986.551217955366</v>
      </c>
      <c r="G216" s="20">
        <f t="shared" si="31"/>
        <v>614721.65875797765</v>
      </c>
      <c r="H216" s="26">
        <f t="shared" si="32"/>
        <v>0.24588866350319105</v>
      </c>
      <c r="J216" s="22">
        <f t="shared" si="33"/>
        <v>0</v>
      </c>
      <c r="K216" s="22">
        <f>IF(N215=0,0,IF(N215&lt;BondCalculator!$B$12+BondCalculator!$B$7,N215+L216,BondCalculator!$B$12+BondCalculator!$B$7))</f>
        <v>0</v>
      </c>
      <c r="L216" s="22">
        <f>J216*BondCalculator!$B$5/12</f>
        <v>0</v>
      </c>
      <c r="M216" s="22">
        <f t="shared" si="34"/>
        <v>0</v>
      </c>
      <c r="N216" s="22">
        <f t="shared" si="27"/>
        <v>0</v>
      </c>
      <c r="P216" s="22">
        <f t="shared" si="28"/>
        <v>5818.1585914460529</v>
      </c>
      <c r="Q216" s="23">
        <f>-PV(BondCalculator!$B$9/12,B216,0,1,0)</f>
        <v>0.34564385949227733</v>
      </c>
      <c r="S216" s="24">
        <f t="shared" si="29"/>
        <v>2011.0107906855658</v>
      </c>
    </row>
    <row r="217" spans="1:19" ht="16.05" customHeight="1" x14ac:dyDescent="0.25">
      <c r="A217" s="19" t="s">
        <v>115</v>
      </c>
      <c r="B217" s="35">
        <v>214</v>
      </c>
      <c r="C217" s="20">
        <f t="shared" si="35"/>
        <v>614721.65875797765</v>
      </c>
      <c r="D217" s="20">
        <f>IF(G216=0,0,IF(G216&lt;BondCalculator!$B$12,G216+E217,BondCalculator!$B$12))</f>
        <v>25804.709809401418</v>
      </c>
      <c r="E217" s="20">
        <f>C217*BondCalculator!$B$5/12</f>
        <v>5634.9485386147944</v>
      </c>
      <c r="F217" s="20">
        <f t="shared" si="30"/>
        <v>20169.761270786625</v>
      </c>
      <c r="G217" s="20">
        <f t="shared" si="31"/>
        <v>594551.89748719102</v>
      </c>
      <c r="H217" s="26">
        <f t="shared" si="32"/>
        <v>0.2378207589948764</v>
      </c>
      <c r="J217" s="22">
        <f t="shared" si="33"/>
        <v>0</v>
      </c>
      <c r="K217" s="22">
        <f>IF(N216=0,0,IF(N216&lt;BondCalculator!$B$12+BondCalculator!$B$7,N216+L217,BondCalculator!$B$12+BondCalculator!$B$7))</f>
        <v>0</v>
      </c>
      <c r="L217" s="22">
        <f>J217*BondCalculator!$B$5/12</f>
        <v>0</v>
      </c>
      <c r="M217" s="22">
        <f t="shared" si="34"/>
        <v>0</v>
      </c>
      <c r="N217" s="22">
        <f t="shared" si="27"/>
        <v>0</v>
      </c>
      <c r="P217" s="22">
        <f t="shared" si="28"/>
        <v>5634.9485386147944</v>
      </c>
      <c r="Q217" s="23">
        <f>-PV(BondCalculator!$B$9/12,B217,0,1,0)</f>
        <v>0.34392423830077357</v>
      </c>
      <c r="S217" s="24">
        <f t="shared" si="29"/>
        <v>1937.9953840071503</v>
      </c>
    </row>
    <row r="218" spans="1:19" ht="16.05" customHeight="1" x14ac:dyDescent="0.25">
      <c r="A218" s="19" t="s">
        <v>115</v>
      </c>
      <c r="B218" s="35">
        <v>215</v>
      </c>
      <c r="C218" s="20">
        <f t="shared" si="35"/>
        <v>594551.89748719102</v>
      </c>
      <c r="D218" s="20">
        <f>IF(G217=0,0,IF(G217&lt;BondCalculator!$B$12,G217+E218,BondCalculator!$B$12))</f>
        <v>25804.709809401418</v>
      </c>
      <c r="E218" s="20">
        <f>C218*BondCalculator!$B$5/12</f>
        <v>5450.0590602992515</v>
      </c>
      <c r="F218" s="20">
        <f t="shared" si="30"/>
        <v>20354.650749102166</v>
      </c>
      <c r="G218" s="20">
        <f t="shared" si="31"/>
        <v>574197.2467380889</v>
      </c>
      <c r="H218" s="26">
        <f t="shared" si="32"/>
        <v>0.22967889869523556</v>
      </c>
      <c r="J218" s="22">
        <f t="shared" si="33"/>
        <v>0</v>
      </c>
      <c r="K218" s="22">
        <f>IF(N217=0,0,IF(N217&lt;BondCalculator!$B$12+BondCalculator!$B$7,N217+L218,BondCalculator!$B$12+BondCalculator!$B$7))</f>
        <v>0</v>
      </c>
      <c r="L218" s="22">
        <f>J218*BondCalculator!$B$5/12</f>
        <v>0</v>
      </c>
      <c r="M218" s="22">
        <f t="shared" si="34"/>
        <v>0</v>
      </c>
      <c r="N218" s="22">
        <f t="shared" si="27"/>
        <v>0</v>
      </c>
      <c r="P218" s="22">
        <f t="shared" si="28"/>
        <v>5450.0590602992515</v>
      </c>
      <c r="Q218" s="23">
        <f>-PV(BondCalculator!$B$9/12,B218,0,1,0)</f>
        <v>0.34221317243858074</v>
      </c>
      <c r="S218" s="24">
        <f t="shared" si="29"/>
        <v>1865.0820010026371</v>
      </c>
    </row>
    <row r="219" spans="1:19" ht="16.05" customHeight="1" x14ac:dyDescent="0.25">
      <c r="A219" s="19" t="s">
        <v>115</v>
      </c>
      <c r="B219" s="35">
        <v>216</v>
      </c>
      <c r="C219" s="20">
        <f t="shared" si="35"/>
        <v>574197.2467380889</v>
      </c>
      <c r="D219" s="20">
        <f>IF(G218=0,0,IF(G218&lt;BondCalculator!$B$12,G218+E219,BondCalculator!$B$12))</f>
        <v>25804.709809401418</v>
      </c>
      <c r="E219" s="20">
        <f>C219*BondCalculator!$B$5/12</f>
        <v>5263.4747617658149</v>
      </c>
      <c r="F219" s="20">
        <f t="shared" si="30"/>
        <v>20541.235047635604</v>
      </c>
      <c r="G219" s="20">
        <f t="shared" si="31"/>
        <v>553656.01169045328</v>
      </c>
      <c r="H219" s="26">
        <f t="shared" si="32"/>
        <v>0.22146240467618131</v>
      </c>
      <c r="J219" s="22">
        <f t="shared" si="33"/>
        <v>0</v>
      </c>
      <c r="K219" s="22">
        <f>IF(N218=0,0,IF(N218&lt;BondCalculator!$B$12+BondCalculator!$B$7,N218+L219,BondCalculator!$B$12+BondCalculator!$B$7))</f>
        <v>0</v>
      </c>
      <c r="L219" s="22">
        <f>J219*BondCalculator!$B$5/12</f>
        <v>0</v>
      </c>
      <c r="M219" s="22">
        <f t="shared" si="34"/>
        <v>0</v>
      </c>
      <c r="N219" s="22">
        <f t="shared" si="27"/>
        <v>0</v>
      </c>
      <c r="P219" s="22">
        <f t="shared" si="28"/>
        <v>5263.4747617658149</v>
      </c>
      <c r="Q219" s="23">
        <f>-PV(BondCalculator!$B$9/12,B219,0,1,0)</f>
        <v>0.34051061934187127</v>
      </c>
      <c r="S219" s="24">
        <f t="shared" si="29"/>
        <v>1792.269051019186</v>
      </c>
    </row>
    <row r="220" spans="1:19" ht="16.05" customHeight="1" x14ac:dyDescent="0.25">
      <c r="A220" s="19" t="s">
        <v>116</v>
      </c>
      <c r="B220" s="35">
        <v>217</v>
      </c>
      <c r="C220" s="20">
        <f t="shared" si="35"/>
        <v>553656.01169045328</v>
      </c>
      <c r="D220" s="20">
        <f>IF(G219=0,0,IF(G219&lt;BondCalculator!$B$12,G219+E220,BondCalculator!$B$12))</f>
        <v>25804.709809401418</v>
      </c>
      <c r="E220" s="20">
        <f>C220*BondCalculator!$B$5/12</f>
        <v>5075.1801071624886</v>
      </c>
      <c r="F220" s="20">
        <f t="shared" si="30"/>
        <v>20729.529702238928</v>
      </c>
      <c r="G220" s="20">
        <f t="shared" si="31"/>
        <v>532926.48198821431</v>
      </c>
      <c r="H220" s="26">
        <f t="shared" si="32"/>
        <v>0.21317059279528572</v>
      </c>
      <c r="J220" s="22">
        <f t="shared" si="33"/>
        <v>0</v>
      </c>
      <c r="K220" s="22">
        <f>IF(N219=0,0,IF(N219&lt;BondCalculator!$B$12+BondCalculator!$B$7,N219+L220,BondCalculator!$B$12+BondCalculator!$B$7))</f>
        <v>0</v>
      </c>
      <c r="L220" s="22">
        <f>J220*BondCalculator!$B$5/12</f>
        <v>0</v>
      </c>
      <c r="M220" s="22">
        <f t="shared" si="34"/>
        <v>0</v>
      </c>
      <c r="N220" s="22">
        <f t="shared" si="27"/>
        <v>0</v>
      </c>
      <c r="P220" s="22">
        <f t="shared" si="28"/>
        <v>5075.1801071624886</v>
      </c>
      <c r="Q220" s="23">
        <f>-PV(BondCalculator!$B$9/12,B220,0,1,0)</f>
        <v>0.33881653665857847</v>
      </c>
      <c r="S220" s="24">
        <f t="shared" si="29"/>
        <v>1719.5549468273075</v>
      </c>
    </row>
    <row r="221" spans="1:19" ht="16.05" customHeight="1" x14ac:dyDescent="0.25">
      <c r="A221" s="19" t="s">
        <v>116</v>
      </c>
      <c r="B221" s="35">
        <v>218</v>
      </c>
      <c r="C221" s="20">
        <f t="shared" si="35"/>
        <v>532926.48198821431</v>
      </c>
      <c r="D221" s="20">
        <f>IF(G220=0,0,IF(G220&lt;BondCalculator!$B$12,G220+E221,BondCalculator!$B$12))</f>
        <v>25804.709809401418</v>
      </c>
      <c r="E221" s="20">
        <f>C221*BondCalculator!$B$5/12</f>
        <v>4885.1594182252984</v>
      </c>
      <c r="F221" s="20">
        <f t="shared" si="30"/>
        <v>20919.550391176119</v>
      </c>
      <c r="G221" s="20">
        <f t="shared" si="31"/>
        <v>512006.93159703817</v>
      </c>
      <c r="H221" s="26">
        <f t="shared" si="32"/>
        <v>0.20480277263881527</v>
      </c>
      <c r="J221" s="22">
        <f t="shared" si="33"/>
        <v>0</v>
      </c>
      <c r="K221" s="22">
        <f>IF(N220=0,0,IF(N220&lt;BondCalculator!$B$12+BondCalculator!$B$7,N220+L221,BondCalculator!$B$12+BondCalculator!$B$7))</f>
        <v>0</v>
      </c>
      <c r="L221" s="22">
        <f>J221*BondCalculator!$B$5/12</f>
        <v>0</v>
      </c>
      <c r="M221" s="22">
        <f t="shared" si="34"/>
        <v>0</v>
      </c>
      <c r="N221" s="22">
        <f t="shared" si="27"/>
        <v>0</v>
      </c>
      <c r="P221" s="22">
        <f t="shared" si="28"/>
        <v>4885.1594182252984</v>
      </c>
      <c r="Q221" s="23">
        <f>-PV(BondCalculator!$B$9/12,B221,0,1,0)</f>
        <v>0.33713088224734183</v>
      </c>
      <c r="S221" s="24">
        <f t="shared" si="29"/>
        <v>1646.938104585206</v>
      </c>
    </row>
    <row r="222" spans="1:19" ht="16.05" customHeight="1" x14ac:dyDescent="0.25">
      <c r="A222" s="19" t="s">
        <v>116</v>
      </c>
      <c r="B222" s="35">
        <v>219</v>
      </c>
      <c r="C222" s="20">
        <f t="shared" si="35"/>
        <v>512006.93159703817</v>
      </c>
      <c r="D222" s="20">
        <f>IF(G221=0,0,IF(G221&lt;BondCalculator!$B$12,G221+E222,BondCalculator!$B$12))</f>
        <v>25804.709809401418</v>
      </c>
      <c r="E222" s="20">
        <f>C222*BondCalculator!$B$5/12</f>
        <v>4693.3968729728504</v>
      </c>
      <c r="F222" s="20">
        <f t="shared" si="30"/>
        <v>21111.312936428567</v>
      </c>
      <c r="G222" s="20">
        <f t="shared" si="31"/>
        <v>490895.61866060959</v>
      </c>
      <c r="H222" s="26">
        <f t="shared" si="32"/>
        <v>0.19635824746424382</v>
      </c>
      <c r="J222" s="22">
        <f t="shared" si="33"/>
        <v>0</v>
      </c>
      <c r="K222" s="22">
        <f>IF(N221=0,0,IF(N221&lt;BondCalculator!$B$12+BondCalculator!$B$7,N221+L222,BondCalculator!$B$12+BondCalculator!$B$7))</f>
        <v>0</v>
      </c>
      <c r="L222" s="22">
        <f>J222*BondCalculator!$B$5/12</f>
        <v>0</v>
      </c>
      <c r="M222" s="22">
        <f t="shared" si="34"/>
        <v>0</v>
      </c>
      <c r="N222" s="22">
        <f t="shared" si="27"/>
        <v>0</v>
      </c>
      <c r="P222" s="22">
        <f t="shared" si="28"/>
        <v>4693.3968729728504</v>
      </c>
      <c r="Q222" s="23">
        <f>-PV(BondCalculator!$B$9/12,B222,0,1,0)</f>
        <v>0.33545361417645952</v>
      </c>
      <c r="S222" s="24">
        <f t="shared" si="29"/>
        <v>1574.4169438032361</v>
      </c>
    </row>
    <row r="223" spans="1:19" ht="16.05" customHeight="1" x14ac:dyDescent="0.25">
      <c r="A223" s="19" t="s">
        <v>116</v>
      </c>
      <c r="B223" s="35">
        <v>220</v>
      </c>
      <c r="C223" s="20">
        <f t="shared" si="35"/>
        <v>490895.61866060959</v>
      </c>
      <c r="D223" s="20">
        <f>IF(G222=0,0,IF(G222&lt;BondCalculator!$B$12,G222+E223,BondCalculator!$B$12))</f>
        <v>25804.709809401418</v>
      </c>
      <c r="E223" s="20">
        <f>C223*BondCalculator!$B$5/12</f>
        <v>4499.8765043889207</v>
      </c>
      <c r="F223" s="20">
        <f t="shared" si="30"/>
        <v>21304.833305012497</v>
      </c>
      <c r="G223" s="20">
        <f t="shared" si="31"/>
        <v>469590.78535559709</v>
      </c>
      <c r="H223" s="26">
        <f t="shared" si="32"/>
        <v>0.18783631414223884</v>
      </c>
      <c r="J223" s="22">
        <f t="shared" si="33"/>
        <v>0</v>
      </c>
      <c r="K223" s="22">
        <f>IF(N222=0,0,IF(N222&lt;BondCalculator!$B$12+BondCalculator!$B$7,N222+L223,BondCalculator!$B$12+BondCalculator!$B$7))</f>
        <v>0</v>
      </c>
      <c r="L223" s="22">
        <f>J223*BondCalculator!$B$5/12</f>
        <v>0</v>
      </c>
      <c r="M223" s="22">
        <f t="shared" si="34"/>
        <v>0</v>
      </c>
      <c r="N223" s="22">
        <f t="shared" si="27"/>
        <v>0</v>
      </c>
      <c r="P223" s="22">
        <f t="shared" si="28"/>
        <v>4499.8765043889207</v>
      </c>
      <c r="Q223" s="23">
        <f>-PV(BondCalculator!$B$9/12,B223,0,1,0)</f>
        <v>0.33378469072284539</v>
      </c>
      <c r="S223" s="24">
        <f t="shared" si="29"/>
        <v>1501.9898873084546</v>
      </c>
    </row>
    <row r="224" spans="1:19" ht="16.05" customHeight="1" x14ac:dyDescent="0.25">
      <c r="A224" s="19" t="s">
        <v>116</v>
      </c>
      <c r="B224" s="35">
        <v>221</v>
      </c>
      <c r="C224" s="20">
        <f t="shared" si="35"/>
        <v>469590.78535559709</v>
      </c>
      <c r="D224" s="20">
        <f>IF(G223=0,0,IF(G223&lt;BondCalculator!$B$12,G223+E224,BondCalculator!$B$12))</f>
        <v>25804.709809401418</v>
      </c>
      <c r="E224" s="20">
        <f>C224*BondCalculator!$B$5/12</f>
        <v>4304.5821990929735</v>
      </c>
      <c r="F224" s="20">
        <f t="shared" si="30"/>
        <v>21500.127610308446</v>
      </c>
      <c r="G224" s="20">
        <f t="shared" si="31"/>
        <v>448090.65774528863</v>
      </c>
      <c r="H224" s="26">
        <f t="shared" si="32"/>
        <v>0.17923626309811544</v>
      </c>
      <c r="J224" s="22">
        <f t="shared" si="33"/>
        <v>0</v>
      </c>
      <c r="K224" s="22">
        <f>IF(N223=0,0,IF(N223&lt;BondCalculator!$B$12+BondCalculator!$B$7,N223+L224,BondCalculator!$B$12+BondCalculator!$B$7))</f>
        <v>0</v>
      </c>
      <c r="L224" s="22">
        <f>J224*BondCalculator!$B$5/12</f>
        <v>0</v>
      </c>
      <c r="M224" s="22">
        <f t="shared" si="34"/>
        <v>0</v>
      </c>
      <c r="N224" s="22">
        <f t="shared" si="27"/>
        <v>0</v>
      </c>
      <c r="P224" s="22">
        <f t="shared" si="28"/>
        <v>4304.5821990929735</v>
      </c>
      <c r="Q224" s="23">
        <f>-PV(BondCalculator!$B$9/12,B224,0,1,0)</f>
        <v>0.33212407037099051</v>
      </c>
      <c r="S224" s="24">
        <f t="shared" si="29"/>
        <v>1429.6553612092678</v>
      </c>
    </row>
    <row r="225" spans="1:19" ht="16.05" customHeight="1" x14ac:dyDescent="0.25">
      <c r="A225" s="19" t="s">
        <v>116</v>
      </c>
      <c r="B225" s="35">
        <v>222</v>
      </c>
      <c r="C225" s="20">
        <f t="shared" si="35"/>
        <v>448090.65774528863</v>
      </c>
      <c r="D225" s="20">
        <f>IF(G224=0,0,IF(G224&lt;BondCalculator!$B$12,G224+E225,BondCalculator!$B$12))</f>
        <v>25804.709809401418</v>
      </c>
      <c r="E225" s="20">
        <f>C225*BondCalculator!$B$5/12</f>
        <v>4107.4976959984788</v>
      </c>
      <c r="F225" s="20">
        <f t="shared" si="30"/>
        <v>21697.21211340294</v>
      </c>
      <c r="G225" s="20">
        <f t="shared" si="31"/>
        <v>426393.44563188567</v>
      </c>
      <c r="H225" s="26">
        <f t="shared" si="32"/>
        <v>0.17055737825275427</v>
      </c>
      <c r="J225" s="22">
        <f t="shared" si="33"/>
        <v>0</v>
      </c>
      <c r="K225" s="22">
        <f>IF(N224=0,0,IF(N224&lt;BondCalculator!$B$12+BondCalculator!$B$7,N224+L225,BondCalculator!$B$12+BondCalculator!$B$7))</f>
        <v>0</v>
      </c>
      <c r="L225" s="22">
        <f>J225*BondCalculator!$B$5/12</f>
        <v>0</v>
      </c>
      <c r="M225" s="22">
        <f t="shared" si="34"/>
        <v>0</v>
      </c>
      <c r="N225" s="22">
        <f t="shared" si="27"/>
        <v>0</v>
      </c>
      <c r="P225" s="22">
        <f t="shared" si="28"/>
        <v>4107.4976959984788</v>
      </c>
      <c r="Q225" s="23">
        <f>-PV(BondCalculator!$B$9/12,B225,0,1,0)</f>
        <v>0.33047171181193091</v>
      </c>
      <c r="S225" s="24">
        <f t="shared" si="29"/>
        <v>1357.4117948601795</v>
      </c>
    </row>
    <row r="226" spans="1:19" ht="16.05" customHeight="1" x14ac:dyDescent="0.25">
      <c r="A226" s="19" t="s">
        <v>116</v>
      </c>
      <c r="B226" s="35">
        <v>223</v>
      </c>
      <c r="C226" s="20">
        <f t="shared" si="35"/>
        <v>426393.44563188567</v>
      </c>
      <c r="D226" s="20">
        <f>IF(G225=0,0,IF(G225&lt;BondCalculator!$B$12,G225+E226,BondCalculator!$B$12))</f>
        <v>25804.709809401418</v>
      </c>
      <c r="E226" s="20">
        <f>C226*BondCalculator!$B$5/12</f>
        <v>3908.6065849589522</v>
      </c>
      <c r="F226" s="20">
        <f t="shared" si="30"/>
        <v>21896.103224442464</v>
      </c>
      <c r="G226" s="20">
        <f t="shared" si="31"/>
        <v>404497.34240744321</v>
      </c>
      <c r="H226" s="26">
        <f t="shared" si="32"/>
        <v>0.16179893696297729</v>
      </c>
      <c r="J226" s="22">
        <f t="shared" si="33"/>
        <v>0</v>
      </c>
      <c r="K226" s="22">
        <f>IF(N225=0,0,IF(N225&lt;BondCalculator!$B$12+BondCalculator!$B$7,N225+L226,BondCalculator!$B$12+BondCalculator!$B$7))</f>
        <v>0</v>
      </c>
      <c r="L226" s="22">
        <f>J226*BondCalculator!$B$5/12</f>
        <v>0</v>
      </c>
      <c r="M226" s="22">
        <f t="shared" si="34"/>
        <v>0</v>
      </c>
      <c r="N226" s="22">
        <f t="shared" si="27"/>
        <v>0</v>
      </c>
      <c r="P226" s="22">
        <f t="shared" si="28"/>
        <v>3908.6065849589522</v>
      </c>
      <c r="Q226" s="23">
        <f>-PV(BondCalculator!$B$9/12,B226,0,1,0)</f>
        <v>0.3288275739422199</v>
      </c>
      <c r="S226" s="24">
        <f t="shared" si="29"/>
        <v>1285.2576208266375</v>
      </c>
    </row>
    <row r="227" spans="1:19" ht="16.05" customHeight="1" x14ac:dyDescent="0.25">
      <c r="A227" s="19" t="s">
        <v>116</v>
      </c>
      <c r="B227" s="35">
        <v>224</v>
      </c>
      <c r="C227" s="20">
        <f t="shared" si="35"/>
        <v>404497.34240744321</v>
      </c>
      <c r="D227" s="20">
        <f>IF(G226=0,0,IF(G226&lt;BondCalculator!$B$12,G226+E227,BondCalculator!$B$12))</f>
        <v>25804.709809401418</v>
      </c>
      <c r="E227" s="20">
        <f>C227*BondCalculator!$B$5/12</f>
        <v>3707.8923054015627</v>
      </c>
      <c r="F227" s="20">
        <f t="shared" si="30"/>
        <v>22096.817503999857</v>
      </c>
      <c r="G227" s="20">
        <f t="shared" si="31"/>
        <v>382400.52490344335</v>
      </c>
      <c r="H227" s="26">
        <f t="shared" si="32"/>
        <v>0.15296020996137735</v>
      </c>
      <c r="J227" s="22">
        <f t="shared" si="33"/>
        <v>0</v>
      </c>
      <c r="K227" s="22">
        <f>IF(N226=0,0,IF(N226&lt;BondCalculator!$B$12+BondCalculator!$B$7,N226+L227,BondCalculator!$B$12+BondCalculator!$B$7))</f>
        <v>0</v>
      </c>
      <c r="L227" s="22">
        <f>J227*BondCalculator!$B$5/12</f>
        <v>0</v>
      </c>
      <c r="M227" s="22">
        <f t="shared" si="34"/>
        <v>0</v>
      </c>
      <c r="N227" s="22">
        <f t="shared" si="27"/>
        <v>0</v>
      </c>
      <c r="P227" s="22">
        <f t="shared" si="28"/>
        <v>3707.8923054015627</v>
      </c>
      <c r="Q227" s="23">
        <f>-PV(BondCalculator!$B$9/12,B227,0,1,0)</f>
        <v>0.3271916158629054</v>
      </c>
      <c r="S227" s="24">
        <f t="shared" si="29"/>
        <v>1213.1912748499708</v>
      </c>
    </row>
    <row r="228" spans="1:19" ht="16.05" customHeight="1" x14ac:dyDescent="0.25">
      <c r="A228" s="19" t="s">
        <v>116</v>
      </c>
      <c r="B228" s="35">
        <v>225</v>
      </c>
      <c r="C228" s="20">
        <f t="shared" si="35"/>
        <v>382400.52490344335</v>
      </c>
      <c r="D228" s="20">
        <f>IF(G227=0,0,IF(G227&lt;BondCalculator!$B$12,G227+E228,BondCalculator!$B$12))</f>
        <v>25804.709809401418</v>
      </c>
      <c r="E228" s="20">
        <f>C228*BondCalculator!$B$5/12</f>
        <v>3505.3381449482308</v>
      </c>
      <c r="F228" s="20">
        <f t="shared" si="30"/>
        <v>22299.371664453189</v>
      </c>
      <c r="G228" s="20">
        <f t="shared" si="31"/>
        <v>360101.15323899017</v>
      </c>
      <c r="H228" s="26">
        <f t="shared" si="32"/>
        <v>0.14404046129559606</v>
      </c>
      <c r="J228" s="22">
        <f t="shared" si="33"/>
        <v>0</v>
      </c>
      <c r="K228" s="22">
        <f>IF(N227=0,0,IF(N227&lt;BondCalculator!$B$12+BondCalculator!$B$7,N227+L228,BondCalculator!$B$12+BondCalculator!$B$7))</f>
        <v>0</v>
      </c>
      <c r="L228" s="22">
        <f>J228*BondCalculator!$B$5/12</f>
        <v>0</v>
      </c>
      <c r="M228" s="22">
        <f t="shared" si="34"/>
        <v>0</v>
      </c>
      <c r="N228" s="22">
        <f t="shared" si="27"/>
        <v>0</v>
      </c>
      <c r="P228" s="22">
        <f t="shared" si="28"/>
        <v>3505.3381449482308</v>
      </c>
      <c r="Q228" s="23">
        <f>-PV(BondCalculator!$B$9/12,B228,0,1,0)</f>
        <v>0.32556379687851289</v>
      </c>
      <c r="S228" s="24">
        <f t="shared" si="29"/>
        <v>1141.211195812429</v>
      </c>
    </row>
    <row r="229" spans="1:19" ht="16.05" customHeight="1" x14ac:dyDescent="0.25">
      <c r="A229" s="19" t="s">
        <v>116</v>
      </c>
      <c r="B229" s="35">
        <v>226</v>
      </c>
      <c r="C229" s="20">
        <f t="shared" si="35"/>
        <v>360101.15323899017</v>
      </c>
      <c r="D229" s="20">
        <f>IF(G228=0,0,IF(G228&lt;BondCalculator!$B$12,G228+E229,BondCalculator!$B$12))</f>
        <v>25804.709809401418</v>
      </c>
      <c r="E229" s="20">
        <f>C229*BondCalculator!$B$5/12</f>
        <v>3300.9272380240764</v>
      </c>
      <c r="F229" s="20">
        <f t="shared" si="30"/>
        <v>22503.782571377342</v>
      </c>
      <c r="G229" s="20">
        <f t="shared" si="31"/>
        <v>337597.37066761282</v>
      </c>
      <c r="H229" s="26">
        <f t="shared" si="32"/>
        <v>0.13503894826704513</v>
      </c>
      <c r="J229" s="22">
        <f t="shared" si="33"/>
        <v>0</v>
      </c>
      <c r="K229" s="22">
        <f>IF(N228=0,0,IF(N228&lt;BondCalculator!$B$12+BondCalculator!$B$7,N228+L229,BondCalculator!$B$12+BondCalculator!$B$7))</f>
        <v>0</v>
      </c>
      <c r="L229" s="22">
        <f>J229*BondCalculator!$B$5/12</f>
        <v>0</v>
      </c>
      <c r="M229" s="22">
        <f t="shared" si="34"/>
        <v>0</v>
      </c>
      <c r="N229" s="22">
        <f t="shared" si="27"/>
        <v>0</v>
      </c>
      <c r="P229" s="22">
        <f t="shared" si="28"/>
        <v>3300.9272380240764</v>
      </c>
      <c r="Q229" s="23">
        <f>-PV(BondCalculator!$B$9/12,B229,0,1,0)</f>
        <v>0.32394407649603274</v>
      </c>
      <c r="S229" s="24">
        <f t="shared" si="29"/>
        <v>1069.3158257023094</v>
      </c>
    </row>
    <row r="230" spans="1:19" ht="16.05" customHeight="1" x14ac:dyDescent="0.25">
      <c r="A230" s="19" t="s">
        <v>116</v>
      </c>
      <c r="B230" s="35">
        <v>227</v>
      </c>
      <c r="C230" s="20">
        <f t="shared" si="35"/>
        <v>337597.37066761282</v>
      </c>
      <c r="D230" s="20">
        <f>IF(G229=0,0,IF(G229&lt;BondCalculator!$B$12,G229+E230,BondCalculator!$B$12))</f>
        <v>25804.709809401418</v>
      </c>
      <c r="E230" s="20">
        <f>C230*BondCalculator!$B$5/12</f>
        <v>3094.6425644531173</v>
      </c>
      <c r="F230" s="20">
        <f t="shared" si="30"/>
        <v>22710.067244948303</v>
      </c>
      <c r="G230" s="20">
        <f t="shared" si="31"/>
        <v>314887.30342266452</v>
      </c>
      <c r="H230" s="26">
        <f t="shared" si="32"/>
        <v>0.1259549213690658</v>
      </c>
      <c r="J230" s="22">
        <f t="shared" si="33"/>
        <v>0</v>
      </c>
      <c r="K230" s="22">
        <f>IF(N229=0,0,IF(N229&lt;BondCalculator!$B$12+BondCalculator!$B$7,N229+L230,BondCalculator!$B$12+BondCalculator!$B$7))</f>
        <v>0</v>
      </c>
      <c r="L230" s="22">
        <f>J230*BondCalculator!$B$5/12</f>
        <v>0</v>
      </c>
      <c r="M230" s="22">
        <f t="shared" si="34"/>
        <v>0</v>
      </c>
      <c r="N230" s="22">
        <f t="shared" si="27"/>
        <v>0</v>
      </c>
      <c r="P230" s="22">
        <f t="shared" si="28"/>
        <v>3094.6425644531173</v>
      </c>
      <c r="Q230" s="23">
        <f>-PV(BondCalculator!$B$9/12,B230,0,1,0)</f>
        <v>0.32233241442391319</v>
      </c>
      <c r="S230" s="24">
        <f t="shared" si="29"/>
        <v>997.50360957918372</v>
      </c>
    </row>
    <row r="231" spans="1:19" ht="16.05" customHeight="1" x14ac:dyDescent="0.25">
      <c r="A231" s="19" t="s">
        <v>116</v>
      </c>
      <c r="B231" s="35">
        <v>228</v>
      </c>
      <c r="C231" s="20">
        <f t="shared" si="35"/>
        <v>314887.30342266452</v>
      </c>
      <c r="D231" s="20">
        <f>IF(G230=0,0,IF(G230&lt;BondCalculator!$B$12,G230+E231,BondCalculator!$B$12))</f>
        <v>25804.709809401418</v>
      </c>
      <c r="E231" s="20">
        <f>C231*BondCalculator!$B$5/12</f>
        <v>2886.4669480410917</v>
      </c>
      <c r="F231" s="20">
        <f t="shared" si="30"/>
        <v>22918.242861360326</v>
      </c>
      <c r="G231" s="20">
        <f t="shared" si="31"/>
        <v>291969.06056130421</v>
      </c>
      <c r="H231" s="26">
        <f t="shared" si="32"/>
        <v>0.11678762422452169</v>
      </c>
      <c r="J231" s="22">
        <f t="shared" si="33"/>
        <v>0</v>
      </c>
      <c r="K231" s="22">
        <f>IF(N230=0,0,IF(N230&lt;BondCalculator!$B$12+BondCalculator!$B$7,N230+L231,BondCalculator!$B$12+BondCalculator!$B$7))</f>
        <v>0</v>
      </c>
      <c r="L231" s="22">
        <f>J231*BondCalculator!$B$5/12</f>
        <v>0</v>
      </c>
      <c r="M231" s="22">
        <f t="shared" si="34"/>
        <v>0</v>
      </c>
      <c r="N231" s="22">
        <f t="shared" si="27"/>
        <v>0</v>
      </c>
      <c r="P231" s="22">
        <f t="shared" si="28"/>
        <v>2886.4669480410917</v>
      </c>
      <c r="Q231" s="23">
        <f>-PV(BondCalculator!$B$9/12,B231,0,1,0)</f>
        <v>0.32072877057105803</v>
      </c>
      <c r="S231" s="24">
        <f t="shared" si="29"/>
        <v>925.77299553921341</v>
      </c>
    </row>
    <row r="232" spans="1:19" ht="16.05" customHeight="1" x14ac:dyDescent="0.25">
      <c r="A232" s="19" t="s">
        <v>117</v>
      </c>
      <c r="B232" s="35">
        <v>229</v>
      </c>
      <c r="C232" s="20">
        <f t="shared" si="35"/>
        <v>291969.06056130421</v>
      </c>
      <c r="D232" s="20">
        <f>IF(G231=0,0,IF(G231&lt;BondCalculator!$B$12,G231+E232,BondCalculator!$B$12))</f>
        <v>25804.709809401418</v>
      </c>
      <c r="E232" s="20">
        <f>C232*BondCalculator!$B$5/12</f>
        <v>2676.3830551452888</v>
      </c>
      <c r="F232" s="20">
        <f t="shared" si="30"/>
        <v>23128.32675425613</v>
      </c>
      <c r="G232" s="20">
        <f t="shared" si="31"/>
        <v>268840.73380704806</v>
      </c>
      <c r="H232" s="26">
        <f t="shared" si="32"/>
        <v>0.10753629352281922</v>
      </c>
      <c r="J232" s="22">
        <f t="shared" si="33"/>
        <v>0</v>
      </c>
      <c r="K232" s="22">
        <f>IF(N231=0,0,IF(N231&lt;BondCalculator!$B$12+BondCalculator!$B$7,N231+L232,BondCalculator!$B$12+BondCalculator!$B$7))</f>
        <v>0</v>
      </c>
      <c r="L232" s="22">
        <f>J232*BondCalculator!$B$5/12</f>
        <v>0</v>
      </c>
      <c r="M232" s="22">
        <f t="shared" si="34"/>
        <v>0</v>
      </c>
      <c r="N232" s="22">
        <f t="shared" si="27"/>
        <v>0</v>
      </c>
      <c r="P232" s="22">
        <f t="shared" si="28"/>
        <v>2676.3830551452888</v>
      </c>
      <c r="Q232" s="23">
        <f>-PV(BondCalculator!$B$9/12,B232,0,1,0)</f>
        <v>0.31913310504582898</v>
      </c>
      <c r="S232" s="24">
        <f t="shared" si="29"/>
        <v>854.12243468055817</v>
      </c>
    </row>
    <row r="233" spans="1:19" ht="16.05" customHeight="1" x14ac:dyDescent="0.25">
      <c r="A233" s="19" t="s">
        <v>117</v>
      </c>
      <c r="B233" s="35">
        <v>230</v>
      </c>
      <c r="C233" s="20">
        <f t="shared" si="35"/>
        <v>268840.73380704806</v>
      </c>
      <c r="D233" s="20">
        <f>IF(G232=0,0,IF(G232&lt;BondCalculator!$B$12,G232+E233,BondCalculator!$B$12))</f>
        <v>25804.709809401418</v>
      </c>
      <c r="E233" s="20">
        <f>C233*BondCalculator!$B$5/12</f>
        <v>2464.3733932312739</v>
      </c>
      <c r="F233" s="20">
        <f t="shared" si="30"/>
        <v>23340.336416170143</v>
      </c>
      <c r="G233" s="20">
        <f t="shared" si="31"/>
        <v>245500.39739087792</v>
      </c>
      <c r="H233" s="26">
        <f t="shared" si="32"/>
        <v>9.8200158956351161E-2</v>
      </c>
      <c r="J233" s="22">
        <f t="shared" si="33"/>
        <v>0</v>
      </c>
      <c r="K233" s="22">
        <f>IF(N232=0,0,IF(N232&lt;BondCalculator!$B$12+BondCalculator!$B$7,N232+L233,BondCalculator!$B$12+BondCalculator!$B$7))</f>
        <v>0</v>
      </c>
      <c r="L233" s="22">
        <f>J233*BondCalculator!$B$5/12</f>
        <v>0</v>
      </c>
      <c r="M233" s="22">
        <f t="shared" si="34"/>
        <v>0</v>
      </c>
      <c r="N233" s="22">
        <f t="shared" si="27"/>
        <v>0</v>
      </c>
      <c r="P233" s="22">
        <f t="shared" si="28"/>
        <v>2464.3733932312739</v>
      </c>
      <c r="Q233" s="23">
        <f>-PV(BondCalculator!$B$9/12,B233,0,1,0)</f>
        <v>0.31754537815505368</v>
      </c>
      <c r="S233" s="24">
        <f t="shared" si="29"/>
        <v>782.55038106887764</v>
      </c>
    </row>
    <row r="234" spans="1:19" ht="16.05" customHeight="1" x14ac:dyDescent="0.25">
      <c r="A234" s="19" t="s">
        <v>117</v>
      </c>
      <c r="B234" s="35">
        <v>231</v>
      </c>
      <c r="C234" s="20">
        <f t="shared" si="35"/>
        <v>245500.39739087792</v>
      </c>
      <c r="D234" s="20">
        <f>IF(G233=0,0,IF(G233&lt;BondCalculator!$B$12,G233+E234,BondCalculator!$B$12))</f>
        <v>25804.709809401418</v>
      </c>
      <c r="E234" s="20">
        <f>C234*BondCalculator!$B$5/12</f>
        <v>2250.4203094163809</v>
      </c>
      <c r="F234" s="20">
        <f t="shared" si="30"/>
        <v>23554.289499985036</v>
      </c>
      <c r="G234" s="20">
        <f t="shared" si="31"/>
        <v>221946.10789089289</v>
      </c>
      <c r="H234" s="26">
        <f t="shared" si="32"/>
        <v>8.8778443156357162E-2</v>
      </c>
      <c r="J234" s="22">
        <f t="shared" si="33"/>
        <v>0</v>
      </c>
      <c r="K234" s="22">
        <f>IF(N233=0,0,IF(N233&lt;BondCalculator!$B$12+BondCalculator!$B$7,N233+L234,BondCalculator!$B$12+BondCalculator!$B$7))</f>
        <v>0</v>
      </c>
      <c r="L234" s="22">
        <f>J234*BondCalculator!$B$5/12</f>
        <v>0</v>
      </c>
      <c r="M234" s="22">
        <f t="shared" si="34"/>
        <v>0</v>
      </c>
      <c r="N234" s="22">
        <f t="shared" si="27"/>
        <v>0</v>
      </c>
      <c r="P234" s="22">
        <f t="shared" si="28"/>
        <v>2250.4203094163809</v>
      </c>
      <c r="Q234" s="23">
        <f>-PV(BondCalculator!$B$9/12,B234,0,1,0)</f>
        <v>0.31596555040303853</v>
      </c>
      <c r="S234" s="24">
        <f t="shared" si="29"/>
        <v>711.055291702923</v>
      </c>
    </row>
    <row r="235" spans="1:19" ht="16.05" customHeight="1" x14ac:dyDescent="0.25">
      <c r="A235" s="19" t="s">
        <v>117</v>
      </c>
      <c r="B235" s="35">
        <v>232</v>
      </c>
      <c r="C235" s="20">
        <f t="shared" si="35"/>
        <v>221946.10789089289</v>
      </c>
      <c r="D235" s="20">
        <f>IF(G234=0,0,IF(G234&lt;BondCalculator!$B$12,G234+E235,BondCalculator!$B$12))</f>
        <v>25804.709809401418</v>
      </c>
      <c r="E235" s="20">
        <f>C235*BondCalculator!$B$5/12</f>
        <v>2034.5059889998513</v>
      </c>
      <c r="F235" s="20">
        <f t="shared" si="30"/>
        <v>23770.203820401566</v>
      </c>
      <c r="G235" s="20">
        <f t="shared" si="31"/>
        <v>198175.90407049132</v>
      </c>
      <c r="H235" s="26">
        <f t="shared" si="32"/>
        <v>7.9270361628196534E-2</v>
      </c>
      <c r="J235" s="22">
        <f t="shared" si="33"/>
        <v>0</v>
      </c>
      <c r="K235" s="22">
        <f>IF(N234=0,0,IF(N234&lt;BondCalculator!$B$12+BondCalculator!$B$7,N234+L235,BondCalculator!$B$12+BondCalculator!$B$7))</f>
        <v>0</v>
      </c>
      <c r="L235" s="22">
        <f>J235*BondCalculator!$B$5/12</f>
        <v>0</v>
      </c>
      <c r="M235" s="22">
        <f t="shared" si="34"/>
        <v>0</v>
      </c>
      <c r="N235" s="22">
        <f t="shared" si="27"/>
        <v>0</v>
      </c>
      <c r="P235" s="22">
        <f t="shared" si="28"/>
        <v>2034.5059889998513</v>
      </c>
      <c r="Q235" s="23">
        <f>-PV(BondCalculator!$B$9/12,B235,0,1,0)</f>
        <v>0.31439358249058563</v>
      </c>
      <c r="S235" s="24">
        <f t="shared" si="29"/>
        <v>639.63562648021525</v>
      </c>
    </row>
    <row r="236" spans="1:19" ht="16.05" customHeight="1" x14ac:dyDescent="0.25">
      <c r="A236" s="19" t="s">
        <v>117</v>
      </c>
      <c r="B236" s="35">
        <v>233</v>
      </c>
      <c r="C236" s="20">
        <f t="shared" si="35"/>
        <v>198175.90407049132</v>
      </c>
      <c r="D236" s="20">
        <f>IF(G235=0,0,IF(G235&lt;BondCalculator!$B$12,G235+E236,BondCalculator!$B$12))</f>
        <v>25804.709809401418</v>
      </c>
      <c r="E236" s="20">
        <f>C236*BondCalculator!$B$5/12</f>
        <v>1816.6124539795037</v>
      </c>
      <c r="F236" s="20">
        <f t="shared" si="30"/>
        <v>23988.097355421916</v>
      </c>
      <c r="G236" s="20">
        <f t="shared" si="31"/>
        <v>174187.8067150694</v>
      </c>
      <c r="H236" s="26">
        <f t="shared" si="32"/>
        <v>6.9675122686027754E-2</v>
      </c>
      <c r="J236" s="22">
        <f t="shared" si="33"/>
        <v>0</v>
      </c>
      <c r="K236" s="22">
        <f>IF(N235=0,0,IF(N235&lt;BondCalculator!$B$12+BondCalculator!$B$7,N235+L236,BondCalculator!$B$12+BondCalculator!$B$7))</f>
        <v>0</v>
      </c>
      <c r="L236" s="22">
        <f>J236*BondCalculator!$B$5/12</f>
        <v>0</v>
      </c>
      <c r="M236" s="22">
        <f t="shared" si="34"/>
        <v>0</v>
      </c>
      <c r="N236" s="22">
        <f t="shared" si="27"/>
        <v>0</v>
      </c>
      <c r="P236" s="22">
        <f t="shared" si="28"/>
        <v>1816.6124539795037</v>
      </c>
      <c r="Q236" s="23">
        <f>-PV(BondCalculator!$B$9/12,B236,0,1,0)</f>
        <v>0.31282943531401564</v>
      </c>
      <c r="S236" s="24">
        <f t="shared" si="29"/>
        <v>568.28984816281638</v>
      </c>
    </row>
    <row r="237" spans="1:19" ht="16.05" customHeight="1" x14ac:dyDescent="0.25">
      <c r="A237" s="19" t="s">
        <v>117</v>
      </c>
      <c r="B237" s="35">
        <v>234</v>
      </c>
      <c r="C237" s="20">
        <f t="shared" si="35"/>
        <v>174187.8067150694</v>
      </c>
      <c r="D237" s="20">
        <f>IF(G236=0,0,IF(G236&lt;BondCalculator!$B$12,G236+E237,BondCalculator!$B$12))</f>
        <v>25804.709809401418</v>
      </c>
      <c r="E237" s="20">
        <f>C237*BondCalculator!$B$5/12</f>
        <v>1596.7215615548027</v>
      </c>
      <c r="F237" s="20">
        <f t="shared" si="30"/>
        <v>24207.988247846617</v>
      </c>
      <c r="G237" s="20">
        <f t="shared" si="31"/>
        <v>149979.81846722279</v>
      </c>
      <c r="H237" s="26">
        <f t="shared" si="32"/>
        <v>5.9991927386889118E-2</v>
      </c>
      <c r="J237" s="22">
        <f t="shared" si="33"/>
        <v>0</v>
      </c>
      <c r="K237" s="22">
        <f>IF(N236=0,0,IF(N236&lt;BondCalculator!$B$12+BondCalculator!$B$7,N236+L237,BondCalculator!$B$12+BondCalculator!$B$7))</f>
        <v>0</v>
      </c>
      <c r="L237" s="22">
        <f>J237*BondCalculator!$B$5/12</f>
        <v>0</v>
      </c>
      <c r="M237" s="22">
        <f t="shared" si="34"/>
        <v>0</v>
      </c>
      <c r="N237" s="22">
        <f t="shared" si="27"/>
        <v>0</v>
      </c>
      <c r="P237" s="22">
        <f t="shared" si="28"/>
        <v>1596.7215615548027</v>
      </c>
      <c r="Q237" s="23">
        <f>-PV(BondCalculator!$B$9/12,B237,0,1,0)</f>
        <v>0.31127306996419474</v>
      </c>
      <c r="S237" s="24">
        <f t="shared" si="29"/>
        <v>497.01642234318638</v>
      </c>
    </row>
    <row r="238" spans="1:19" ht="16.05" customHeight="1" x14ac:dyDescent="0.25">
      <c r="A238" s="19" t="s">
        <v>117</v>
      </c>
      <c r="B238" s="35">
        <v>235</v>
      </c>
      <c r="C238" s="20">
        <f t="shared" si="35"/>
        <v>149979.81846722279</v>
      </c>
      <c r="D238" s="20">
        <f>IF(G237=0,0,IF(G237&lt;BondCalculator!$B$12,G237+E238,BondCalculator!$B$12))</f>
        <v>25804.709809401418</v>
      </c>
      <c r="E238" s="20">
        <f>C238*BondCalculator!$B$5/12</f>
        <v>1374.8150026162091</v>
      </c>
      <c r="F238" s="20">
        <f t="shared" si="30"/>
        <v>24429.894806785211</v>
      </c>
      <c r="G238" s="20">
        <f t="shared" si="31"/>
        <v>125549.92366043758</v>
      </c>
      <c r="H238" s="26">
        <f t="shared" si="32"/>
        <v>5.0219969464175028E-2</v>
      </c>
      <c r="J238" s="22">
        <f t="shared" si="33"/>
        <v>0</v>
      </c>
      <c r="K238" s="22">
        <f>IF(N237=0,0,IF(N237&lt;BondCalculator!$B$12+BondCalculator!$B$7,N237+L238,BondCalculator!$B$12+BondCalculator!$B$7))</f>
        <v>0</v>
      </c>
      <c r="L238" s="22">
        <f>J238*BondCalculator!$B$5/12</f>
        <v>0</v>
      </c>
      <c r="M238" s="22">
        <f t="shared" si="34"/>
        <v>0</v>
      </c>
      <c r="N238" s="22">
        <f t="shared" si="27"/>
        <v>0</v>
      </c>
      <c r="P238" s="22">
        <f t="shared" si="28"/>
        <v>1374.8150026162091</v>
      </c>
      <c r="Q238" s="23">
        <f>-PV(BondCalculator!$B$9/12,B238,0,1,0)</f>
        <v>0.3097244477255669</v>
      </c>
      <c r="S238" s="24">
        <f t="shared" si="29"/>
        <v>425.81381741012916</v>
      </c>
    </row>
    <row r="239" spans="1:19" ht="16.05" customHeight="1" x14ac:dyDescent="0.25">
      <c r="A239" s="19" t="s">
        <v>117</v>
      </c>
      <c r="B239" s="35">
        <v>236</v>
      </c>
      <c r="C239" s="20">
        <f t="shared" si="35"/>
        <v>125549.92366043758</v>
      </c>
      <c r="D239" s="20">
        <f>IF(G238=0,0,IF(G238&lt;BondCalculator!$B$12,G238+E239,BondCalculator!$B$12))</f>
        <v>25804.709809401418</v>
      </c>
      <c r="E239" s="20">
        <f>C239*BondCalculator!$B$5/12</f>
        <v>1150.8743002206777</v>
      </c>
      <c r="F239" s="20">
        <f t="shared" si="30"/>
        <v>24653.835509180739</v>
      </c>
      <c r="G239" s="20">
        <f t="shared" si="31"/>
        <v>100896.08815125684</v>
      </c>
      <c r="H239" s="26">
        <f t="shared" si="32"/>
        <v>4.0358435260502735E-2</v>
      </c>
      <c r="J239" s="22">
        <f t="shared" si="33"/>
        <v>0</v>
      </c>
      <c r="K239" s="22">
        <f>IF(N238=0,0,IF(N238&lt;BondCalculator!$B$12+BondCalculator!$B$7,N238+L239,BondCalculator!$B$12+BondCalculator!$B$7))</f>
        <v>0</v>
      </c>
      <c r="L239" s="22">
        <f>J239*BondCalculator!$B$5/12</f>
        <v>0</v>
      </c>
      <c r="M239" s="22">
        <f t="shared" si="34"/>
        <v>0</v>
      </c>
      <c r="N239" s="22">
        <f t="shared" si="27"/>
        <v>0</v>
      </c>
      <c r="P239" s="22">
        <f t="shared" si="28"/>
        <v>1150.8743002206777</v>
      </c>
      <c r="Q239" s="23">
        <f>-PV(BondCalculator!$B$9/12,B239,0,1,0)</f>
        <v>0.308183530075191</v>
      </c>
      <c r="S239" s="24">
        <f t="shared" si="29"/>
        <v>354.68050451482361</v>
      </c>
    </row>
    <row r="240" spans="1:19" ht="16.05" customHeight="1" x14ac:dyDescent="0.25">
      <c r="A240" s="19" t="s">
        <v>117</v>
      </c>
      <c r="B240" s="35">
        <v>237</v>
      </c>
      <c r="C240" s="20">
        <f t="shared" si="35"/>
        <v>100896.08815125684</v>
      </c>
      <c r="D240" s="20">
        <f>IF(G239=0,0,IF(G239&lt;BondCalculator!$B$12,G239+E240,BondCalculator!$B$12))</f>
        <v>25804.709809401418</v>
      </c>
      <c r="E240" s="20">
        <f>C240*BondCalculator!$B$5/12</f>
        <v>924.88080805318771</v>
      </c>
      <c r="F240" s="20">
        <f t="shared" si="30"/>
        <v>24879.829001348229</v>
      </c>
      <c r="G240" s="20">
        <f t="shared" si="31"/>
        <v>76016.259149908612</v>
      </c>
      <c r="H240" s="26">
        <f t="shared" si="32"/>
        <v>3.0406503659963446E-2</v>
      </c>
      <c r="J240" s="22">
        <f t="shared" si="33"/>
        <v>0</v>
      </c>
      <c r="K240" s="22">
        <f>IF(N239=0,0,IF(N239&lt;BondCalculator!$B$12+BondCalculator!$B$7,N239+L240,BondCalculator!$B$12+BondCalculator!$B$7))</f>
        <v>0</v>
      </c>
      <c r="L240" s="22">
        <f>J240*BondCalculator!$B$5/12</f>
        <v>0</v>
      </c>
      <c r="M240" s="22">
        <f t="shared" si="34"/>
        <v>0</v>
      </c>
      <c r="N240" s="22">
        <f t="shared" si="27"/>
        <v>0</v>
      </c>
      <c r="P240" s="22">
        <f t="shared" si="28"/>
        <v>924.88080805318771</v>
      </c>
      <c r="Q240" s="23">
        <f>-PV(BondCalculator!$B$9/12,B240,0,1,0)</f>
        <v>0.30665027868178218</v>
      </c>
      <c r="S240" s="24">
        <f t="shared" si="29"/>
        <v>283.61495753694192</v>
      </c>
    </row>
    <row r="241" spans="1:19" ht="16.05" customHeight="1" x14ac:dyDescent="0.25">
      <c r="A241" s="19" t="s">
        <v>117</v>
      </c>
      <c r="B241" s="35">
        <v>238</v>
      </c>
      <c r="C241" s="20">
        <f t="shared" si="35"/>
        <v>76016.259149908612</v>
      </c>
      <c r="D241" s="20">
        <f>IF(G240=0,0,IF(G240&lt;BondCalculator!$B$12,G240+E241,BondCalculator!$B$12))</f>
        <v>25804.709809401418</v>
      </c>
      <c r="E241" s="20">
        <f>C241*BondCalculator!$B$5/12</f>
        <v>696.81570887416228</v>
      </c>
      <c r="F241" s="20">
        <f t="shared" si="30"/>
        <v>25107.894100527257</v>
      </c>
      <c r="G241" s="20">
        <f t="shared" si="31"/>
        <v>50908.365049381355</v>
      </c>
      <c r="H241" s="26">
        <f t="shared" si="32"/>
        <v>2.0363346019752541E-2</v>
      </c>
      <c r="J241" s="22">
        <f t="shared" si="33"/>
        <v>0</v>
      </c>
      <c r="K241" s="22">
        <f>IF(N240=0,0,IF(N240&lt;BondCalculator!$B$12+BondCalculator!$B$7,N240+L241,BondCalculator!$B$12+BondCalculator!$B$7))</f>
        <v>0</v>
      </c>
      <c r="L241" s="22">
        <f>J241*BondCalculator!$B$5/12</f>
        <v>0</v>
      </c>
      <c r="M241" s="22">
        <f t="shared" si="34"/>
        <v>0</v>
      </c>
      <c r="N241" s="22">
        <f t="shared" si="27"/>
        <v>0</v>
      </c>
      <c r="P241" s="22">
        <f t="shared" si="28"/>
        <v>696.81570887416228</v>
      </c>
      <c r="Q241" s="23">
        <f>-PV(BondCalculator!$B$9/12,B241,0,1,0)</f>
        <v>0.30512465540475842</v>
      </c>
      <c r="S241" s="24">
        <f t="shared" si="29"/>
        <v>212.61565305085122</v>
      </c>
    </row>
    <row r="242" spans="1:19" ht="16.05" customHeight="1" x14ac:dyDescent="0.25">
      <c r="A242" s="19" t="s">
        <v>117</v>
      </c>
      <c r="B242" s="35">
        <v>239</v>
      </c>
      <c r="C242" s="20">
        <f t="shared" si="35"/>
        <v>50908.365049381355</v>
      </c>
      <c r="D242" s="20">
        <f>IF(G241=0,0,IF(G241&lt;BondCalculator!$B$12,G241+E242,BondCalculator!$B$12))</f>
        <v>25804.709809401418</v>
      </c>
      <c r="E242" s="20">
        <f>C242*BondCalculator!$B$5/12</f>
        <v>466.66001295266238</v>
      </c>
      <c r="F242" s="20">
        <f t="shared" si="30"/>
        <v>25338.049796448755</v>
      </c>
      <c r="G242" s="20">
        <f t="shared" si="31"/>
        <v>25570.3152529326</v>
      </c>
      <c r="H242" s="26">
        <f t="shared" si="32"/>
        <v>1.0228126101173039E-2</v>
      </c>
      <c r="J242" s="22">
        <f t="shared" si="33"/>
        <v>0</v>
      </c>
      <c r="K242" s="22">
        <f>IF(N241=0,0,IF(N241&lt;BondCalculator!$B$12+BondCalculator!$B$7,N241+L242,BondCalculator!$B$12+BondCalculator!$B$7))</f>
        <v>0</v>
      </c>
      <c r="L242" s="22">
        <f>J242*BondCalculator!$B$5/12</f>
        <v>0</v>
      </c>
      <c r="M242" s="22">
        <f t="shared" si="34"/>
        <v>0</v>
      </c>
      <c r="N242" s="22">
        <f t="shared" si="27"/>
        <v>0</v>
      </c>
      <c r="P242" s="22">
        <f t="shared" si="28"/>
        <v>466.66001295266238</v>
      </c>
      <c r="Q242" s="23">
        <f>-PV(BondCalculator!$B$9/12,B242,0,1,0)</f>
        <v>0.30360662229329205</v>
      </c>
      <c r="S242" s="24">
        <f t="shared" si="29"/>
        <v>141.68107029190173</v>
      </c>
    </row>
    <row r="243" spans="1:19" ht="16.05" customHeight="1" x14ac:dyDescent="0.25">
      <c r="A243" s="19" t="s">
        <v>117</v>
      </c>
      <c r="B243" s="35">
        <v>240</v>
      </c>
      <c r="C243" s="20">
        <f t="shared" si="35"/>
        <v>25570.3152529326</v>
      </c>
      <c r="D243" s="20">
        <f>IF(G242=0,0,IF(G242&lt;BondCalculator!$B$12,G242+E243,BondCalculator!$B$12))</f>
        <v>25804.709809417815</v>
      </c>
      <c r="E243" s="20">
        <f>C243*BondCalculator!$B$5/12</f>
        <v>234.3945564852155</v>
      </c>
      <c r="F243" s="20">
        <f t="shared" si="30"/>
        <v>25570.3152529326</v>
      </c>
      <c r="G243" s="20">
        <f t="shared" si="31"/>
        <v>0</v>
      </c>
      <c r="H243" s="26">
        <f t="shared" si="32"/>
        <v>0</v>
      </c>
      <c r="J243" s="22">
        <f t="shared" si="33"/>
        <v>0</v>
      </c>
      <c r="K243" s="22">
        <f>IF(N242=0,0,IF(N242&lt;BondCalculator!$B$12+BondCalculator!$B$7,N242+L243,BondCalculator!$B$12+BondCalculator!$B$7))</f>
        <v>0</v>
      </c>
      <c r="L243" s="22">
        <f>J243*BondCalculator!$B$5/12</f>
        <v>0</v>
      </c>
      <c r="M243" s="22">
        <f t="shared" si="34"/>
        <v>0</v>
      </c>
      <c r="N243" s="22">
        <f t="shared" si="27"/>
        <v>0</v>
      </c>
      <c r="P243" s="22">
        <f t="shared" si="28"/>
        <v>234.3945564852155</v>
      </c>
      <c r="Q243" s="23">
        <f>-PV(BondCalculator!$B$9/12,B243,0,1,0)</f>
        <v>0.30209614158536524</v>
      </c>
      <c r="S243" s="24">
        <f t="shared" si="29"/>
        <v>70.809691122796551</v>
      </c>
    </row>
    <row r="244" spans="1:19" ht="16.05" customHeight="1" x14ac:dyDescent="0.25">
      <c r="A244" s="19" t="s">
        <v>119</v>
      </c>
      <c r="B244" s="35">
        <v>241</v>
      </c>
      <c r="C244" s="20">
        <f t="shared" si="35"/>
        <v>0</v>
      </c>
      <c r="D244" s="20">
        <f>IF(G243=0,0,IF(G243&lt;BondCalculator!$B$12,G243+E244,BondCalculator!$B$12))</f>
        <v>0</v>
      </c>
      <c r="E244" s="20">
        <f>C244*BondCalculator!$B$5/12</f>
        <v>0</v>
      </c>
      <c r="F244" s="20">
        <f t="shared" ref="F244:F307" si="36">D244-E244</f>
        <v>0</v>
      </c>
      <c r="G244" s="20">
        <f t="shared" si="31"/>
        <v>0</v>
      </c>
      <c r="H244" s="26">
        <f t="shared" si="32"/>
        <v>0</v>
      </c>
      <c r="J244" s="22">
        <f t="shared" ref="J244:J307" si="37">IF(ROUND(N243,0)&gt;0,N243,0)</f>
        <v>0</v>
      </c>
      <c r="K244" s="22">
        <f>IF(N243=0,0,IF(N243&lt;BondCalculator!$B$12+BondCalculator!$B$7,N243+L244,BondCalculator!$B$12+BondCalculator!$B$7))</f>
        <v>0</v>
      </c>
      <c r="L244" s="22">
        <f>J244*BondCalculator!$B$5/12</f>
        <v>0</v>
      </c>
      <c r="M244" s="22">
        <f t="shared" ref="M244:M307" si="38">IF(K244-L244&gt;N243,N243,K244-L244)</f>
        <v>0</v>
      </c>
      <c r="N244" s="22">
        <f t="shared" ref="N244:N307" si="39">J244-M244</f>
        <v>0</v>
      </c>
      <c r="P244" s="22">
        <f t="shared" ref="P244:P307" si="40">E244-L244</f>
        <v>0</v>
      </c>
      <c r="Q244" s="23">
        <f>-PV(BondCalculator!$B$9/12,B244,0,1,0)</f>
        <v>0.30059317570683103</v>
      </c>
      <c r="S244" s="24">
        <f t="shared" si="29"/>
        <v>0</v>
      </c>
    </row>
    <row r="245" spans="1:19" ht="16.05" customHeight="1" x14ac:dyDescent="0.25">
      <c r="A245" s="19" t="s">
        <v>119</v>
      </c>
      <c r="B245" s="35">
        <v>242</v>
      </c>
      <c r="C245" s="20">
        <f t="shared" si="35"/>
        <v>0</v>
      </c>
      <c r="D245" s="20">
        <f>IF(G244=0,0,IF(G244&lt;BondCalculator!$B$12,G244+E245,BondCalculator!$B$12))</f>
        <v>0</v>
      </c>
      <c r="E245" s="20">
        <f>C245*BondCalculator!$B$5/12</f>
        <v>0</v>
      </c>
      <c r="F245" s="20">
        <f t="shared" si="36"/>
        <v>0</v>
      </c>
      <c r="G245" s="20">
        <f t="shared" si="31"/>
        <v>0</v>
      </c>
      <c r="H245" s="26">
        <f t="shared" si="32"/>
        <v>0</v>
      </c>
      <c r="J245" s="22">
        <f t="shared" si="37"/>
        <v>0</v>
      </c>
      <c r="K245" s="22">
        <f>IF(N244=0,0,IF(N244&lt;BondCalculator!$B$12+BondCalculator!$B$7,N244+L245,BondCalculator!$B$12+BondCalculator!$B$7))</f>
        <v>0</v>
      </c>
      <c r="L245" s="22">
        <f>J245*BondCalculator!$B$5/12</f>
        <v>0</v>
      </c>
      <c r="M245" s="22">
        <f t="shared" si="38"/>
        <v>0</v>
      </c>
      <c r="N245" s="22">
        <f t="shared" si="39"/>
        <v>0</v>
      </c>
      <c r="P245" s="22">
        <f t="shared" si="40"/>
        <v>0</v>
      </c>
      <c r="Q245" s="23">
        <f>-PV(BondCalculator!$B$9/12,B245,0,1,0)</f>
        <v>0.29909768727047881</v>
      </c>
      <c r="S245" s="24">
        <f t="shared" si="29"/>
        <v>0</v>
      </c>
    </row>
    <row r="246" spans="1:19" ht="16.05" customHeight="1" x14ac:dyDescent="0.25">
      <c r="A246" s="19" t="s">
        <v>119</v>
      </c>
      <c r="B246" s="35">
        <v>243</v>
      </c>
      <c r="C246" s="20">
        <f t="shared" si="35"/>
        <v>0</v>
      </c>
      <c r="D246" s="20">
        <f>IF(G245=0,0,IF(G245&lt;BondCalculator!$B$12,G245+E246,BondCalculator!$B$12))</f>
        <v>0</v>
      </c>
      <c r="E246" s="20">
        <f>C246*BondCalculator!$B$5/12</f>
        <v>0</v>
      </c>
      <c r="F246" s="20">
        <f t="shared" si="36"/>
        <v>0</v>
      </c>
      <c r="G246" s="20">
        <f t="shared" si="31"/>
        <v>0</v>
      </c>
      <c r="H246" s="26">
        <f t="shared" si="32"/>
        <v>0</v>
      </c>
      <c r="J246" s="22">
        <f t="shared" si="37"/>
        <v>0</v>
      </c>
      <c r="K246" s="22">
        <f>IF(N245=0,0,IF(N245&lt;BondCalculator!$B$12+BondCalculator!$B$7,N245+L246,BondCalculator!$B$12+BondCalculator!$B$7))</f>
        <v>0</v>
      </c>
      <c r="L246" s="22">
        <f>J246*BondCalculator!$B$5/12</f>
        <v>0</v>
      </c>
      <c r="M246" s="22">
        <f t="shared" si="38"/>
        <v>0</v>
      </c>
      <c r="N246" s="22">
        <f t="shared" si="39"/>
        <v>0</v>
      </c>
      <c r="P246" s="22">
        <f t="shared" si="40"/>
        <v>0</v>
      </c>
      <c r="Q246" s="23">
        <f>-PV(BondCalculator!$B$9/12,B246,0,1,0)</f>
        <v>0.29760963907510324</v>
      </c>
      <c r="S246" s="24">
        <f t="shared" si="29"/>
        <v>0</v>
      </c>
    </row>
    <row r="247" spans="1:19" ht="16.05" customHeight="1" x14ac:dyDescent="0.25">
      <c r="A247" s="19" t="s">
        <v>119</v>
      </c>
      <c r="B247" s="35">
        <v>244</v>
      </c>
      <c r="C247" s="20">
        <f t="shared" si="35"/>
        <v>0</v>
      </c>
      <c r="D247" s="20">
        <f>IF(G246=0,0,IF(G246&lt;BondCalculator!$B$12,G246+E247,BondCalculator!$B$12))</f>
        <v>0</v>
      </c>
      <c r="E247" s="20">
        <f>C247*BondCalculator!$B$5/12</f>
        <v>0</v>
      </c>
      <c r="F247" s="20">
        <f t="shared" si="36"/>
        <v>0</v>
      </c>
      <c r="G247" s="20">
        <f t="shared" si="31"/>
        <v>0</v>
      </c>
      <c r="H247" s="26">
        <f t="shared" si="32"/>
        <v>0</v>
      </c>
      <c r="J247" s="22">
        <f t="shared" si="37"/>
        <v>0</v>
      </c>
      <c r="K247" s="22">
        <f>IF(N246=0,0,IF(N246&lt;BondCalculator!$B$12+BondCalculator!$B$7,N246+L247,BondCalculator!$B$12+BondCalculator!$B$7))</f>
        <v>0</v>
      </c>
      <c r="L247" s="22">
        <f>J247*BondCalculator!$B$5/12</f>
        <v>0</v>
      </c>
      <c r="M247" s="22">
        <f t="shared" si="38"/>
        <v>0</v>
      </c>
      <c r="N247" s="22">
        <f t="shared" si="39"/>
        <v>0</v>
      </c>
      <c r="P247" s="22">
        <f t="shared" si="40"/>
        <v>0</v>
      </c>
      <c r="Q247" s="23">
        <f>-PV(BondCalculator!$B$9/12,B247,0,1,0)</f>
        <v>0.29612899410458043</v>
      </c>
      <c r="S247" s="24">
        <f t="shared" si="29"/>
        <v>0</v>
      </c>
    </row>
    <row r="248" spans="1:19" ht="16.05" customHeight="1" x14ac:dyDescent="0.25">
      <c r="A248" s="19" t="s">
        <v>119</v>
      </c>
      <c r="B248" s="35">
        <v>245</v>
      </c>
      <c r="C248" s="20">
        <f t="shared" si="35"/>
        <v>0</v>
      </c>
      <c r="D248" s="20">
        <f>IF(G247=0,0,IF(G247&lt;BondCalculator!$B$12,G247+E248,BondCalculator!$B$12))</f>
        <v>0</v>
      </c>
      <c r="E248" s="20">
        <f>C248*BondCalculator!$B$5/12</f>
        <v>0</v>
      </c>
      <c r="F248" s="20">
        <f t="shared" si="36"/>
        <v>0</v>
      </c>
      <c r="G248" s="20">
        <f t="shared" si="31"/>
        <v>0</v>
      </c>
      <c r="H248" s="26">
        <f t="shared" si="32"/>
        <v>0</v>
      </c>
      <c r="J248" s="22">
        <f t="shared" si="37"/>
        <v>0</v>
      </c>
      <c r="K248" s="22">
        <f>IF(N247=0,0,IF(N247&lt;BondCalculator!$B$12+BondCalculator!$B$7,N247+L248,BondCalculator!$B$12+BondCalculator!$B$7))</f>
        <v>0</v>
      </c>
      <c r="L248" s="22">
        <f>J248*BondCalculator!$B$5/12</f>
        <v>0</v>
      </c>
      <c r="M248" s="22">
        <f t="shared" si="38"/>
        <v>0</v>
      </c>
      <c r="N248" s="22">
        <f t="shared" si="39"/>
        <v>0</v>
      </c>
      <c r="P248" s="22">
        <f t="shared" si="40"/>
        <v>0</v>
      </c>
      <c r="Q248" s="23">
        <f>-PV(BondCalculator!$B$9/12,B248,0,1,0)</f>
        <v>0.29465571552694575</v>
      </c>
      <c r="S248" s="24">
        <f t="shared" si="29"/>
        <v>0</v>
      </c>
    </row>
    <row r="249" spans="1:19" ht="16.05" customHeight="1" x14ac:dyDescent="0.25">
      <c r="A249" s="19" t="s">
        <v>119</v>
      </c>
      <c r="B249" s="35">
        <v>246</v>
      </c>
      <c r="C249" s="20">
        <f t="shared" si="35"/>
        <v>0</v>
      </c>
      <c r="D249" s="20">
        <f>IF(G248=0,0,IF(G248&lt;BondCalculator!$B$12,G248+E249,BondCalculator!$B$12))</f>
        <v>0</v>
      </c>
      <c r="E249" s="20">
        <f>C249*BondCalculator!$B$5/12</f>
        <v>0</v>
      </c>
      <c r="F249" s="20">
        <f t="shared" si="36"/>
        <v>0</v>
      </c>
      <c r="G249" s="20">
        <f t="shared" si="31"/>
        <v>0</v>
      </c>
      <c r="H249" s="26">
        <f t="shared" si="32"/>
        <v>0</v>
      </c>
      <c r="J249" s="22">
        <f t="shared" si="37"/>
        <v>0</v>
      </c>
      <c r="K249" s="22">
        <f>IF(N248=0,0,IF(N248&lt;BondCalculator!$B$12+BondCalculator!$B$7,N248+L249,BondCalculator!$B$12+BondCalculator!$B$7))</f>
        <v>0</v>
      </c>
      <c r="L249" s="22">
        <f>J249*BondCalculator!$B$5/12</f>
        <v>0</v>
      </c>
      <c r="M249" s="22">
        <f t="shared" si="38"/>
        <v>0</v>
      </c>
      <c r="N249" s="22">
        <f t="shared" si="39"/>
        <v>0</v>
      </c>
      <c r="P249" s="22">
        <f t="shared" si="40"/>
        <v>0</v>
      </c>
      <c r="Q249" s="23">
        <f>-PV(BondCalculator!$B$9/12,B249,0,1,0)</f>
        <v>0.29318976669347846</v>
      </c>
      <c r="S249" s="24">
        <f t="shared" si="29"/>
        <v>0</v>
      </c>
    </row>
    <row r="250" spans="1:19" ht="16.05" customHeight="1" x14ac:dyDescent="0.25">
      <c r="A250" s="19" t="s">
        <v>119</v>
      </c>
      <c r="B250" s="35">
        <v>247</v>
      </c>
      <c r="C250" s="20">
        <f t="shared" si="35"/>
        <v>0</v>
      </c>
      <c r="D250" s="20">
        <f>IF(G249=0,0,IF(G249&lt;BondCalculator!$B$12,G249+E250,BondCalculator!$B$12))</f>
        <v>0</v>
      </c>
      <c r="E250" s="20">
        <f>C250*BondCalculator!$B$5/12</f>
        <v>0</v>
      </c>
      <c r="F250" s="20">
        <f t="shared" si="36"/>
        <v>0</v>
      </c>
      <c r="G250" s="20">
        <f t="shared" si="31"/>
        <v>0</v>
      </c>
      <c r="H250" s="26">
        <f t="shared" si="32"/>
        <v>0</v>
      </c>
      <c r="J250" s="22">
        <f t="shared" si="37"/>
        <v>0</v>
      </c>
      <c r="K250" s="22">
        <f>IF(N249=0,0,IF(N249&lt;BondCalculator!$B$12+BondCalculator!$B$7,N249+L250,BondCalculator!$B$12+BondCalculator!$B$7))</f>
        <v>0</v>
      </c>
      <c r="L250" s="22">
        <f>J250*BondCalculator!$B$5/12</f>
        <v>0</v>
      </c>
      <c r="M250" s="22">
        <f t="shared" si="38"/>
        <v>0</v>
      </c>
      <c r="N250" s="22">
        <f t="shared" si="39"/>
        <v>0</v>
      </c>
      <c r="P250" s="22">
        <f t="shared" si="40"/>
        <v>0</v>
      </c>
      <c r="Q250" s="23">
        <f>-PV(BondCalculator!$B$9/12,B250,0,1,0)</f>
        <v>0.29173111113778949</v>
      </c>
      <c r="S250" s="24">
        <f t="shared" si="29"/>
        <v>0</v>
      </c>
    </row>
    <row r="251" spans="1:19" ht="16.05" customHeight="1" x14ac:dyDescent="0.25">
      <c r="A251" s="19" t="s">
        <v>119</v>
      </c>
      <c r="B251" s="35">
        <v>248</v>
      </c>
      <c r="C251" s="20">
        <f t="shared" si="35"/>
        <v>0</v>
      </c>
      <c r="D251" s="20">
        <f>IF(G250=0,0,IF(G250&lt;BondCalculator!$B$12,G250+E251,BondCalculator!$B$12))</f>
        <v>0</v>
      </c>
      <c r="E251" s="20">
        <f>C251*BondCalculator!$B$5/12</f>
        <v>0</v>
      </c>
      <c r="F251" s="20">
        <f t="shared" si="36"/>
        <v>0</v>
      </c>
      <c r="G251" s="20">
        <f t="shared" si="31"/>
        <v>0</v>
      </c>
      <c r="H251" s="26">
        <f t="shared" si="32"/>
        <v>0</v>
      </c>
      <c r="J251" s="22">
        <f t="shared" si="37"/>
        <v>0</v>
      </c>
      <c r="K251" s="22">
        <f>IF(N250=0,0,IF(N250&lt;BondCalculator!$B$12+BondCalculator!$B$7,N250+L251,BondCalculator!$B$12+BondCalculator!$B$7))</f>
        <v>0</v>
      </c>
      <c r="L251" s="22">
        <f>J251*BondCalculator!$B$5/12</f>
        <v>0</v>
      </c>
      <c r="M251" s="22">
        <f t="shared" si="38"/>
        <v>0</v>
      </c>
      <c r="N251" s="22">
        <f t="shared" si="39"/>
        <v>0</v>
      </c>
      <c r="P251" s="22">
        <f t="shared" si="40"/>
        <v>0</v>
      </c>
      <c r="Q251" s="23">
        <f>-PV(BondCalculator!$B$9/12,B251,0,1,0)</f>
        <v>0.29027971257491492</v>
      </c>
      <c r="S251" s="24">
        <f t="shared" si="29"/>
        <v>0</v>
      </c>
    </row>
    <row r="252" spans="1:19" ht="16.05" customHeight="1" x14ac:dyDescent="0.25">
      <c r="A252" s="19" t="s">
        <v>119</v>
      </c>
      <c r="B252" s="35">
        <v>249</v>
      </c>
      <c r="C252" s="20">
        <f t="shared" si="35"/>
        <v>0</v>
      </c>
      <c r="D252" s="20">
        <f>IF(G251=0,0,IF(G251&lt;BondCalculator!$B$12,G251+E252,BondCalculator!$B$12))</f>
        <v>0</v>
      </c>
      <c r="E252" s="20">
        <f>C252*BondCalculator!$B$5/12</f>
        <v>0</v>
      </c>
      <c r="F252" s="20">
        <f t="shared" si="36"/>
        <v>0</v>
      </c>
      <c r="G252" s="20">
        <f t="shared" si="31"/>
        <v>0</v>
      </c>
      <c r="H252" s="26">
        <f t="shared" si="32"/>
        <v>0</v>
      </c>
      <c r="J252" s="22">
        <f t="shared" si="37"/>
        <v>0</v>
      </c>
      <c r="K252" s="22">
        <f>IF(N251=0,0,IF(N251&lt;BondCalculator!$B$12+BondCalculator!$B$7,N251+L252,BondCalculator!$B$12+BondCalculator!$B$7))</f>
        <v>0</v>
      </c>
      <c r="L252" s="22">
        <f>J252*BondCalculator!$B$5/12</f>
        <v>0</v>
      </c>
      <c r="M252" s="22">
        <f t="shared" si="38"/>
        <v>0</v>
      </c>
      <c r="N252" s="22">
        <f t="shared" si="39"/>
        <v>0</v>
      </c>
      <c r="P252" s="22">
        <f t="shared" si="40"/>
        <v>0</v>
      </c>
      <c r="Q252" s="23">
        <f>-PV(BondCalculator!$B$9/12,B252,0,1,0)</f>
        <v>0.28883553490041292</v>
      </c>
      <c r="S252" s="24">
        <f t="shared" si="29"/>
        <v>0</v>
      </c>
    </row>
    <row r="253" spans="1:19" ht="16.05" customHeight="1" x14ac:dyDescent="0.25">
      <c r="A253" s="19" t="s">
        <v>119</v>
      </c>
      <c r="B253" s="35">
        <v>250</v>
      </c>
      <c r="C253" s="20">
        <f t="shared" si="35"/>
        <v>0</v>
      </c>
      <c r="D253" s="20">
        <f>IF(G252=0,0,IF(G252&lt;BondCalculator!$B$12,G252+E253,BondCalculator!$B$12))</f>
        <v>0</v>
      </c>
      <c r="E253" s="20">
        <f>C253*BondCalculator!$B$5/12</f>
        <v>0</v>
      </c>
      <c r="F253" s="20">
        <f t="shared" si="36"/>
        <v>0</v>
      </c>
      <c r="G253" s="20">
        <f t="shared" si="31"/>
        <v>0</v>
      </c>
      <c r="H253" s="26">
        <f t="shared" si="32"/>
        <v>0</v>
      </c>
      <c r="J253" s="22">
        <f t="shared" si="37"/>
        <v>0</v>
      </c>
      <c r="K253" s="22">
        <f>IF(N252=0,0,IF(N252&lt;BondCalculator!$B$12+BondCalculator!$B$7,N252+L253,BondCalculator!$B$12+BondCalculator!$B$7))</f>
        <v>0</v>
      </c>
      <c r="L253" s="22">
        <f>J253*BondCalculator!$B$5/12</f>
        <v>0</v>
      </c>
      <c r="M253" s="22">
        <f t="shared" si="38"/>
        <v>0</v>
      </c>
      <c r="N253" s="22">
        <f t="shared" si="39"/>
        <v>0</v>
      </c>
      <c r="P253" s="22">
        <f t="shared" si="40"/>
        <v>0</v>
      </c>
      <c r="Q253" s="23">
        <f>-PV(BondCalculator!$B$9/12,B253,0,1,0)</f>
        <v>0.28739854218946559</v>
      </c>
      <c r="S253" s="24">
        <f t="shared" si="29"/>
        <v>0</v>
      </c>
    </row>
    <row r="254" spans="1:19" ht="16.05" customHeight="1" x14ac:dyDescent="0.25">
      <c r="A254" s="19" t="s">
        <v>119</v>
      </c>
      <c r="B254" s="35">
        <v>251</v>
      </c>
      <c r="C254" s="20">
        <f t="shared" si="35"/>
        <v>0</v>
      </c>
      <c r="D254" s="20">
        <f>IF(G253=0,0,IF(G253&lt;BondCalculator!$B$12,G253+E254,BondCalculator!$B$12))</f>
        <v>0</v>
      </c>
      <c r="E254" s="20">
        <f>C254*BondCalculator!$B$5/12</f>
        <v>0</v>
      </c>
      <c r="F254" s="20">
        <f t="shared" si="36"/>
        <v>0</v>
      </c>
      <c r="G254" s="20">
        <f t="shared" si="31"/>
        <v>0</v>
      </c>
      <c r="H254" s="26">
        <f t="shared" si="32"/>
        <v>0</v>
      </c>
      <c r="J254" s="22">
        <f t="shared" si="37"/>
        <v>0</v>
      </c>
      <c r="K254" s="22">
        <f>IF(N253=0,0,IF(N253&lt;BondCalculator!$B$12+BondCalculator!$B$7,N253+L254,BondCalculator!$B$12+BondCalculator!$B$7))</f>
        <v>0</v>
      </c>
      <c r="L254" s="22">
        <f>J254*BondCalculator!$B$5/12</f>
        <v>0</v>
      </c>
      <c r="M254" s="22">
        <f t="shared" si="38"/>
        <v>0</v>
      </c>
      <c r="N254" s="22">
        <f t="shared" si="39"/>
        <v>0</v>
      </c>
      <c r="P254" s="22">
        <f t="shared" si="40"/>
        <v>0</v>
      </c>
      <c r="Q254" s="23">
        <f>-PV(BondCalculator!$B$9/12,B254,0,1,0)</f>
        <v>0.28596869869598579</v>
      </c>
      <c r="S254" s="24">
        <f t="shared" si="29"/>
        <v>0</v>
      </c>
    </row>
    <row r="255" spans="1:19" ht="16.05" customHeight="1" x14ac:dyDescent="0.25">
      <c r="A255" s="19" t="s">
        <v>119</v>
      </c>
      <c r="B255" s="35">
        <v>252</v>
      </c>
      <c r="C255" s="20">
        <f t="shared" si="35"/>
        <v>0</v>
      </c>
      <c r="D255" s="20">
        <f>IF(G254=0,0,IF(G254&lt;BondCalculator!$B$12,G254+E255,BondCalculator!$B$12))</f>
        <v>0</v>
      </c>
      <c r="E255" s="20">
        <f>C255*BondCalculator!$B$5/12</f>
        <v>0</v>
      </c>
      <c r="F255" s="20">
        <f t="shared" si="36"/>
        <v>0</v>
      </c>
      <c r="G255" s="20">
        <f t="shared" si="31"/>
        <v>0</v>
      </c>
      <c r="H255" s="26">
        <f t="shared" si="32"/>
        <v>0</v>
      </c>
      <c r="J255" s="22">
        <f t="shared" si="37"/>
        <v>0</v>
      </c>
      <c r="K255" s="22">
        <f>IF(N254=0,0,IF(N254&lt;BondCalculator!$B$12+BondCalculator!$B$7,N254+L255,BondCalculator!$B$12+BondCalculator!$B$7))</f>
        <v>0</v>
      </c>
      <c r="L255" s="22">
        <f>J255*BondCalculator!$B$5/12</f>
        <v>0</v>
      </c>
      <c r="M255" s="22">
        <f t="shared" si="38"/>
        <v>0</v>
      </c>
      <c r="N255" s="22">
        <f t="shared" si="39"/>
        <v>0</v>
      </c>
      <c r="P255" s="22">
        <f t="shared" si="40"/>
        <v>0</v>
      </c>
      <c r="Q255" s="23">
        <f>-PV(BondCalculator!$B$9/12,B255,0,1,0)</f>
        <v>0.28454596885172717</v>
      </c>
      <c r="S255" s="24">
        <f t="shared" si="29"/>
        <v>0</v>
      </c>
    </row>
    <row r="256" spans="1:19" ht="16.05" customHeight="1" x14ac:dyDescent="0.25">
      <c r="A256" s="19" t="s">
        <v>120</v>
      </c>
      <c r="B256" s="35">
        <v>253</v>
      </c>
      <c r="C256" s="20">
        <f t="shared" si="35"/>
        <v>0</v>
      </c>
      <c r="D256" s="20">
        <f>IF(G255=0,0,IF(G255&lt;BondCalculator!$B$12,G255+E256,BondCalculator!$B$12))</f>
        <v>0</v>
      </c>
      <c r="E256" s="20">
        <f>C256*BondCalculator!$B$5/12</f>
        <v>0</v>
      </c>
      <c r="F256" s="20">
        <f t="shared" si="36"/>
        <v>0</v>
      </c>
      <c r="G256" s="20">
        <f t="shared" si="31"/>
        <v>0</v>
      </c>
      <c r="H256" s="26">
        <f t="shared" si="32"/>
        <v>0</v>
      </c>
      <c r="J256" s="22">
        <f t="shared" si="37"/>
        <v>0</v>
      </c>
      <c r="K256" s="22">
        <f>IF(N255=0,0,IF(N255&lt;BondCalculator!$B$12+BondCalculator!$B$7,N255+L256,BondCalculator!$B$12+BondCalculator!$B$7))</f>
        <v>0</v>
      </c>
      <c r="L256" s="22">
        <f>J256*BondCalculator!$B$5/12</f>
        <v>0</v>
      </c>
      <c r="M256" s="22">
        <f t="shared" si="38"/>
        <v>0</v>
      </c>
      <c r="N256" s="22">
        <f t="shared" si="39"/>
        <v>0</v>
      </c>
      <c r="P256" s="22">
        <f t="shared" si="40"/>
        <v>0</v>
      </c>
      <c r="Q256" s="23">
        <f>-PV(BondCalculator!$B$9/12,B256,0,1,0)</f>
        <v>0.28313031726540017</v>
      </c>
      <c r="S256" s="24">
        <f t="shared" si="29"/>
        <v>0</v>
      </c>
    </row>
    <row r="257" spans="1:19" ht="16.05" customHeight="1" x14ac:dyDescent="0.25">
      <c r="A257" s="19" t="s">
        <v>120</v>
      </c>
      <c r="B257" s="35">
        <v>254</v>
      </c>
      <c r="C257" s="20">
        <f t="shared" si="35"/>
        <v>0</v>
      </c>
      <c r="D257" s="20">
        <f>IF(G256=0,0,IF(G256&lt;BondCalculator!$B$12,G256+E257,BondCalculator!$B$12))</f>
        <v>0</v>
      </c>
      <c r="E257" s="20">
        <f>C257*BondCalculator!$B$5/12</f>
        <v>0</v>
      </c>
      <c r="F257" s="20">
        <f t="shared" si="36"/>
        <v>0</v>
      </c>
      <c r="G257" s="20">
        <f t="shared" si="31"/>
        <v>0</v>
      </c>
      <c r="H257" s="26">
        <f t="shared" si="32"/>
        <v>0</v>
      </c>
      <c r="J257" s="22">
        <f t="shared" si="37"/>
        <v>0</v>
      </c>
      <c r="K257" s="22">
        <f>IF(N256=0,0,IF(N256&lt;BondCalculator!$B$12+BondCalculator!$B$7,N256+L257,BondCalculator!$B$12+BondCalculator!$B$7))</f>
        <v>0</v>
      </c>
      <c r="L257" s="22">
        <f>J257*BondCalculator!$B$5/12</f>
        <v>0</v>
      </c>
      <c r="M257" s="22">
        <f t="shared" si="38"/>
        <v>0</v>
      </c>
      <c r="N257" s="22">
        <f t="shared" si="39"/>
        <v>0</v>
      </c>
      <c r="P257" s="22">
        <f t="shared" si="40"/>
        <v>0</v>
      </c>
      <c r="Q257" s="23">
        <f>-PV(BondCalculator!$B$9/12,B257,0,1,0)</f>
        <v>0.28172170872179125</v>
      </c>
      <c r="S257" s="24">
        <f t="shared" si="29"/>
        <v>0</v>
      </c>
    </row>
    <row r="258" spans="1:19" ht="16.05" customHeight="1" x14ac:dyDescent="0.25">
      <c r="A258" s="19" t="s">
        <v>120</v>
      </c>
      <c r="B258" s="35">
        <v>255</v>
      </c>
      <c r="C258" s="20">
        <f t="shared" si="35"/>
        <v>0</v>
      </c>
      <c r="D258" s="20">
        <f>IF(G257=0,0,IF(G257&lt;BondCalculator!$B$12,G257+E258,BondCalculator!$B$12))</f>
        <v>0</v>
      </c>
      <c r="E258" s="20">
        <f>C258*BondCalculator!$B$5/12</f>
        <v>0</v>
      </c>
      <c r="F258" s="20">
        <f t="shared" si="36"/>
        <v>0</v>
      </c>
      <c r="G258" s="20">
        <f t="shared" si="31"/>
        <v>0</v>
      </c>
      <c r="H258" s="26">
        <f t="shared" si="32"/>
        <v>0</v>
      </c>
      <c r="J258" s="22">
        <f t="shared" si="37"/>
        <v>0</v>
      </c>
      <c r="K258" s="22">
        <f>IF(N257=0,0,IF(N257&lt;BondCalculator!$B$12+BondCalculator!$B$7,N257+L258,BondCalculator!$B$12+BondCalculator!$B$7))</f>
        <v>0</v>
      </c>
      <c r="L258" s="22">
        <f>J258*BondCalculator!$B$5/12</f>
        <v>0</v>
      </c>
      <c r="M258" s="22">
        <f t="shared" si="38"/>
        <v>0</v>
      </c>
      <c r="N258" s="22">
        <f t="shared" si="39"/>
        <v>0</v>
      </c>
      <c r="P258" s="22">
        <f t="shared" si="40"/>
        <v>0</v>
      </c>
      <c r="Q258" s="23">
        <f>-PV(BondCalculator!$B$9/12,B258,0,1,0)</f>
        <v>0.28032010818088693</v>
      </c>
      <c r="S258" s="24">
        <f t="shared" si="29"/>
        <v>0</v>
      </c>
    </row>
    <row r="259" spans="1:19" ht="16.05" customHeight="1" x14ac:dyDescent="0.25">
      <c r="A259" s="19" t="s">
        <v>120</v>
      </c>
      <c r="B259" s="35">
        <v>256</v>
      </c>
      <c r="C259" s="20">
        <f t="shared" si="35"/>
        <v>0</v>
      </c>
      <c r="D259" s="20">
        <f>IF(G258=0,0,IF(G258&lt;BondCalculator!$B$12,G258+E259,BondCalculator!$B$12))</f>
        <v>0</v>
      </c>
      <c r="E259" s="20">
        <f>C259*BondCalculator!$B$5/12</f>
        <v>0</v>
      </c>
      <c r="F259" s="20">
        <f t="shared" si="36"/>
        <v>0</v>
      </c>
      <c r="G259" s="20">
        <f t="shared" si="31"/>
        <v>0</v>
      </c>
      <c r="H259" s="26">
        <f t="shared" si="32"/>
        <v>0</v>
      </c>
      <c r="J259" s="22">
        <f t="shared" si="37"/>
        <v>0</v>
      </c>
      <c r="K259" s="22">
        <f>IF(N258=0,0,IF(N258&lt;BondCalculator!$B$12+BondCalculator!$B$7,N258+L259,BondCalculator!$B$12+BondCalculator!$B$7))</f>
        <v>0</v>
      </c>
      <c r="L259" s="22">
        <f>J259*BondCalculator!$B$5/12</f>
        <v>0</v>
      </c>
      <c r="M259" s="22">
        <f t="shared" si="38"/>
        <v>0</v>
      </c>
      <c r="N259" s="22">
        <f t="shared" si="39"/>
        <v>0</v>
      </c>
      <c r="P259" s="22">
        <f t="shared" si="40"/>
        <v>0</v>
      </c>
      <c r="Q259" s="23">
        <f>-PV(BondCalculator!$B$9/12,B259,0,1,0)</f>
        <v>0.27892548077700197</v>
      </c>
      <c r="S259" s="24">
        <f t="shared" si="29"/>
        <v>0</v>
      </c>
    </row>
    <row r="260" spans="1:19" ht="16.05" customHeight="1" x14ac:dyDescent="0.25">
      <c r="A260" s="19" t="s">
        <v>120</v>
      </c>
      <c r="B260" s="35">
        <v>257</v>
      </c>
      <c r="C260" s="20">
        <f t="shared" si="35"/>
        <v>0</v>
      </c>
      <c r="D260" s="20">
        <f>IF(G259=0,0,IF(G259&lt;BondCalculator!$B$12,G259+E260,BondCalculator!$B$12))</f>
        <v>0</v>
      </c>
      <c r="E260" s="20">
        <f>C260*BondCalculator!$B$5/12</f>
        <v>0</v>
      </c>
      <c r="F260" s="20">
        <f t="shared" si="36"/>
        <v>0</v>
      </c>
      <c r="G260" s="20">
        <f t="shared" si="31"/>
        <v>0</v>
      </c>
      <c r="H260" s="26">
        <f t="shared" si="32"/>
        <v>0</v>
      </c>
      <c r="J260" s="22">
        <f t="shared" si="37"/>
        <v>0</v>
      </c>
      <c r="K260" s="22">
        <f>IF(N259=0,0,IF(N259&lt;BondCalculator!$B$12+BondCalculator!$B$7,N259+L260,BondCalculator!$B$12+BondCalculator!$B$7))</f>
        <v>0</v>
      </c>
      <c r="L260" s="22">
        <f>J260*BondCalculator!$B$5/12</f>
        <v>0</v>
      </c>
      <c r="M260" s="22">
        <f t="shared" si="38"/>
        <v>0</v>
      </c>
      <c r="N260" s="22">
        <f t="shared" si="39"/>
        <v>0</v>
      </c>
      <c r="P260" s="22">
        <f t="shared" si="40"/>
        <v>0</v>
      </c>
      <c r="Q260" s="23">
        <f>-PV(BondCalculator!$B$9/12,B260,0,1,0)</f>
        <v>0.27753779181791238</v>
      </c>
      <c r="S260" s="24">
        <f t="shared" ref="S260:S323" si="41">P260*Q260</f>
        <v>0</v>
      </c>
    </row>
    <row r="261" spans="1:19" ht="16.05" customHeight="1" x14ac:dyDescent="0.25">
      <c r="A261" s="19" t="s">
        <v>120</v>
      </c>
      <c r="B261" s="35">
        <v>258</v>
      </c>
      <c r="C261" s="20">
        <f t="shared" si="35"/>
        <v>0</v>
      </c>
      <c r="D261" s="20">
        <f>IF(G260=0,0,IF(G260&lt;BondCalculator!$B$12,G260+E261,BondCalculator!$B$12))</f>
        <v>0</v>
      </c>
      <c r="E261" s="20">
        <f>C261*BondCalculator!$B$5/12</f>
        <v>0</v>
      </c>
      <c r="F261" s="20">
        <f t="shared" si="36"/>
        <v>0</v>
      </c>
      <c r="G261" s="20">
        <f t="shared" ref="G261:G324" si="42">IF(ROUND(C261-F261,0)=0,0,C261-F261)</f>
        <v>0</v>
      </c>
      <c r="H261" s="26">
        <f t="shared" ref="H261:H324" si="43">G261/$C$4</f>
        <v>0</v>
      </c>
      <c r="J261" s="22">
        <f t="shared" si="37"/>
        <v>0</v>
      </c>
      <c r="K261" s="22">
        <f>IF(N260=0,0,IF(N260&lt;BondCalculator!$B$12+BondCalculator!$B$7,N260+L261,BondCalculator!$B$12+BondCalculator!$B$7))</f>
        <v>0</v>
      </c>
      <c r="L261" s="22">
        <f>J261*BondCalculator!$B$5/12</f>
        <v>0</v>
      </c>
      <c r="M261" s="22">
        <f t="shared" si="38"/>
        <v>0</v>
      </c>
      <c r="N261" s="22">
        <f t="shared" si="39"/>
        <v>0</v>
      </c>
      <c r="P261" s="22">
        <f t="shared" si="40"/>
        <v>0</v>
      </c>
      <c r="Q261" s="23">
        <f>-PV(BondCalculator!$B$9/12,B261,0,1,0)</f>
        <v>0.27615700678399252</v>
      </c>
      <c r="S261" s="24">
        <f t="shared" si="41"/>
        <v>0</v>
      </c>
    </row>
    <row r="262" spans="1:19" ht="16.05" customHeight="1" x14ac:dyDescent="0.25">
      <c r="A262" s="19" t="s">
        <v>120</v>
      </c>
      <c r="B262" s="35">
        <v>259</v>
      </c>
      <c r="C262" s="20">
        <f t="shared" ref="C262:C325" si="44">IF(ROUND(G261,0)=0,0,G261)</f>
        <v>0</v>
      </c>
      <c r="D262" s="20">
        <f>IF(G261=0,0,IF(G261&lt;BondCalculator!$B$12,G261+E262,BondCalculator!$B$12))</f>
        <v>0</v>
      </c>
      <c r="E262" s="20">
        <f>C262*BondCalculator!$B$5/12</f>
        <v>0</v>
      </c>
      <c r="F262" s="20">
        <f t="shared" si="36"/>
        <v>0</v>
      </c>
      <c r="G262" s="20">
        <f t="shared" si="42"/>
        <v>0</v>
      </c>
      <c r="H262" s="26">
        <f t="shared" si="43"/>
        <v>0</v>
      </c>
      <c r="J262" s="22">
        <f t="shared" si="37"/>
        <v>0</v>
      </c>
      <c r="K262" s="22">
        <f>IF(N261=0,0,IF(N261&lt;BondCalculator!$B$12+BondCalculator!$B$7,N261+L262,BondCalculator!$B$12+BondCalculator!$B$7))</f>
        <v>0</v>
      </c>
      <c r="L262" s="22">
        <f>J262*BondCalculator!$B$5/12</f>
        <v>0</v>
      </c>
      <c r="M262" s="22">
        <f t="shared" si="38"/>
        <v>0</v>
      </c>
      <c r="N262" s="22">
        <f t="shared" si="39"/>
        <v>0</v>
      </c>
      <c r="P262" s="22">
        <f t="shared" si="40"/>
        <v>0</v>
      </c>
      <c r="Q262" s="23">
        <f>-PV(BondCalculator!$B$9/12,B262,0,1,0)</f>
        <v>0.27478309132735573</v>
      </c>
      <c r="S262" s="24">
        <f t="shared" si="41"/>
        <v>0</v>
      </c>
    </row>
    <row r="263" spans="1:19" ht="16.05" customHeight="1" x14ac:dyDescent="0.25">
      <c r="A263" s="19" t="s">
        <v>120</v>
      </c>
      <c r="B263" s="35">
        <v>260</v>
      </c>
      <c r="C263" s="20">
        <f t="shared" si="44"/>
        <v>0</v>
      </c>
      <c r="D263" s="20">
        <f>IF(G262=0,0,IF(G262&lt;BondCalculator!$B$12,G262+E263,BondCalculator!$B$12))</f>
        <v>0</v>
      </c>
      <c r="E263" s="20">
        <f>C263*BondCalculator!$B$5/12</f>
        <v>0</v>
      </c>
      <c r="F263" s="20">
        <f t="shared" si="36"/>
        <v>0</v>
      </c>
      <c r="G263" s="20">
        <f t="shared" si="42"/>
        <v>0</v>
      </c>
      <c r="H263" s="26">
        <f t="shared" si="43"/>
        <v>0</v>
      </c>
      <c r="J263" s="22">
        <f t="shared" si="37"/>
        <v>0</v>
      </c>
      <c r="K263" s="22">
        <f>IF(N262=0,0,IF(N262&lt;BondCalculator!$B$12+BondCalculator!$B$7,N262+L263,BondCalculator!$B$12+BondCalculator!$B$7))</f>
        <v>0</v>
      </c>
      <c r="L263" s="22">
        <f>J263*BondCalculator!$B$5/12</f>
        <v>0</v>
      </c>
      <c r="M263" s="22">
        <f t="shared" si="38"/>
        <v>0</v>
      </c>
      <c r="N263" s="22">
        <f t="shared" si="39"/>
        <v>0</v>
      </c>
      <c r="P263" s="22">
        <f t="shared" si="40"/>
        <v>0</v>
      </c>
      <c r="Q263" s="23">
        <f>-PV(BondCalculator!$B$9/12,B263,0,1,0)</f>
        <v>0.27341601127100079</v>
      </c>
      <c r="S263" s="24">
        <f t="shared" si="41"/>
        <v>0</v>
      </c>
    </row>
    <row r="264" spans="1:19" ht="16.05" customHeight="1" x14ac:dyDescent="0.25">
      <c r="A264" s="19" t="s">
        <v>120</v>
      </c>
      <c r="B264" s="35">
        <v>261</v>
      </c>
      <c r="C264" s="20">
        <f t="shared" si="44"/>
        <v>0</v>
      </c>
      <c r="D264" s="20">
        <f>IF(G263=0,0,IF(G263&lt;BondCalculator!$B$12,G263+E264,BondCalculator!$B$12))</f>
        <v>0</v>
      </c>
      <c r="E264" s="20">
        <f>C264*BondCalculator!$B$5/12</f>
        <v>0</v>
      </c>
      <c r="F264" s="20">
        <f t="shared" si="36"/>
        <v>0</v>
      </c>
      <c r="G264" s="20">
        <f t="shared" si="42"/>
        <v>0</v>
      </c>
      <c r="H264" s="26">
        <f t="shared" si="43"/>
        <v>0</v>
      </c>
      <c r="J264" s="22">
        <f t="shared" si="37"/>
        <v>0</v>
      </c>
      <c r="K264" s="22">
        <f>IF(N263=0,0,IF(N263&lt;BondCalculator!$B$12+BondCalculator!$B$7,N263+L264,BondCalculator!$B$12+BondCalculator!$B$7))</f>
        <v>0</v>
      </c>
      <c r="L264" s="22">
        <f>J264*BondCalculator!$B$5/12</f>
        <v>0</v>
      </c>
      <c r="M264" s="22">
        <f t="shared" si="38"/>
        <v>0</v>
      </c>
      <c r="N264" s="22">
        <f t="shared" si="39"/>
        <v>0</v>
      </c>
      <c r="P264" s="22">
        <f t="shared" si="40"/>
        <v>0</v>
      </c>
      <c r="Q264" s="23">
        <f>-PV(BondCalculator!$B$9/12,B264,0,1,0)</f>
        <v>0.27205573260796106</v>
      </c>
      <c r="S264" s="24">
        <f t="shared" si="41"/>
        <v>0</v>
      </c>
    </row>
    <row r="265" spans="1:19" ht="16.05" customHeight="1" x14ac:dyDescent="0.25">
      <c r="A265" s="19" t="s">
        <v>120</v>
      </c>
      <c r="B265" s="35">
        <v>262</v>
      </c>
      <c r="C265" s="20">
        <f t="shared" si="44"/>
        <v>0</v>
      </c>
      <c r="D265" s="20">
        <f>IF(G264=0,0,IF(G264&lt;BondCalculator!$B$12,G264+E265,BondCalculator!$B$12))</f>
        <v>0</v>
      </c>
      <c r="E265" s="20">
        <f>C265*BondCalculator!$B$5/12</f>
        <v>0</v>
      </c>
      <c r="F265" s="20">
        <f t="shared" si="36"/>
        <v>0</v>
      </c>
      <c r="G265" s="20">
        <f t="shared" si="42"/>
        <v>0</v>
      </c>
      <c r="H265" s="26">
        <f t="shared" si="43"/>
        <v>0</v>
      </c>
      <c r="J265" s="22">
        <f t="shared" si="37"/>
        <v>0</v>
      </c>
      <c r="K265" s="22">
        <f>IF(N264=0,0,IF(N264&lt;BondCalculator!$B$12+BondCalculator!$B$7,N264+L265,BondCalculator!$B$12+BondCalculator!$B$7))</f>
        <v>0</v>
      </c>
      <c r="L265" s="22">
        <f>J265*BondCalculator!$B$5/12</f>
        <v>0</v>
      </c>
      <c r="M265" s="22">
        <f t="shared" si="38"/>
        <v>0</v>
      </c>
      <c r="N265" s="22">
        <f t="shared" si="39"/>
        <v>0</v>
      </c>
      <c r="P265" s="22">
        <f t="shared" si="40"/>
        <v>0</v>
      </c>
      <c r="Q265" s="23">
        <f>-PV(BondCalculator!$B$9/12,B265,0,1,0)</f>
        <v>0.27070222150045881</v>
      </c>
      <c r="S265" s="24">
        <f t="shared" si="41"/>
        <v>0</v>
      </c>
    </row>
    <row r="266" spans="1:19" ht="16.05" customHeight="1" x14ac:dyDescent="0.25">
      <c r="A266" s="19" t="s">
        <v>120</v>
      </c>
      <c r="B266" s="35">
        <v>263</v>
      </c>
      <c r="C266" s="20">
        <f t="shared" si="44"/>
        <v>0</v>
      </c>
      <c r="D266" s="20">
        <f>IF(G265=0,0,IF(G265&lt;BondCalculator!$B$12,G265+E266,BondCalculator!$B$12))</f>
        <v>0</v>
      </c>
      <c r="E266" s="20">
        <f>C266*BondCalculator!$B$5/12</f>
        <v>0</v>
      </c>
      <c r="F266" s="20">
        <f t="shared" si="36"/>
        <v>0</v>
      </c>
      <c r="G266" s="20">
        <f t="shared" si="42"/>
        <v>0</v>
      </c>
      <c r="H266" s="26">
        <f t="shared" si="43"/>
        <v>0</v>
      </c>
      <c r="J266" s="22">
        <f t="shared" si="37"/>
        <v>0</v>
      </c>
      <c r="K266" s="22">
        <f>IF(N265=0,0,IF(N265&lt;BondCalculator!$B$12+BondCalculator!$B$7,N265+L266,BondCalculator!$B$12+BondCalculator!$B$7))</f>
        <v>0</v>
      </c>
      <c r="L266" s="22">
        <f>J266*BondCalculator!$B$5/12</f>
        <v>0</v>
      </c>
      <c r="M266" s="22">
        <f t="shared" si="38"/>
        <v>0</v>
      </c>
      <c r="N266" s="22">
        <f t="shared" si="39"/>
        <v>0</v>
      </c>
      <c r="P266" s="22">
        <f t="shared" si="40"/>
        <v>0</v>
      </c>
      <c r="Q266" s="23">
        <f>-PV(BondCalculator!$B$9/12,B266,0,1,0)</f>
        <v>0.26935544427906355</v>
      </c>
      <c r="S266" s="24">
        <f t="shared" si="41"/>
        <v>0</v>
      </c>
    </row>
    <row r="267" spans="1:19" ht="16.05" customHeight="1" x14ac:dyDescent="0.25">
      <c r="A267" s="19" t="s">
        <v>120</v>
      </c>
      <c r="B267" s="35">
        <v>264</v>
      </c>
      <c r="C267" s="20">
        <f t="shared" si="44"/>
        <v>0</v>
      </c>
      <c r="D267" s="20">
        <f>IF(G266=0,0,IF(G266&lt;BondCalculator!$B$12,G266+E267,BondCalculator!$B$12))</f>
        <v>0</v>
      </c>
      <c r="E267" s="20">
        <f>C267*BondCalculator!$B$5/12</f>
        <v>0</v>
      </c>
      <c r="F267" s="20">
        <f t="shared" si="36"/>
        <v>0</v>
      </c>
      <c r="G267" s="20">
        <f t="shared" si="42"/>
        <v>0</v>
      </c>
      <c r="H267" s="26">
        <f t="shared" si="43"/>
        <v>0</v>
      </c>
      <c r="J267" s="22">
        <f t="shared" si="37"/>
        <v>0</v>
      </c>
      <c r="K267" s="22">
        <f>IF(N266=0,0,IF(N266&lt;BondCalculator!$B$12+BondCalculator!$B$7,N266+L267,BondCalculator!$B$12+BondCalculator!$B$7))</f>
        <v>0</v>
      </c>
      <c r="L267" s="22">
        <f>J267*BondCalculator!$B$5/12</f>
        <v>0</v>
      </c>
      <c r="M267" s="22">
        <f t="shared" si="38"/>
        <v>0</v>
      </c>
      <c r="N267" s="22">
        <f t="shared" si="39"/>
        <v>0</v>
      </c>
      <c r="P267" s="22">
        <f t="shared" si="40"/>
        <v>0</v>
      </c>
      <c r="Q267" s="23">
        <f>-PV(BondCalculator!$B$9/12,B267,0,1,0)</f>
        <v>0.26801536744185428</v>
      </c>
      <c r="S267" s="24">
        <f t="shared" si="41"/>
        <v>0</v>
      </c>
    </row>
    <row r="268" spans="1:19" ht="16.05" customHeight="1" x14ac:dyDescent="0.25">
      <c r="A268" s="19" t="s">
        <v>121</v>
      </c>
      <c r="B268" s="35">
        <v>265</v>
      </c>
      <c r="C268" s="20">
        <f t="shared" si="44"/>
        <v>0</v>
      </c>
      <c r="D268" s="20">
        <f>IF(G267=0,0,IF(G267&lt;BondCalculator!$B$12,G267+E268,BondCalculator!$B$12))</f>
        <v>0</v>
      </c>
      <c r="E268" s="20">
        <f>C268*BondCalculator!$B$5/12</f>
        <v>0</v>
      </c>
      <c r="F268" s="20">
        <f t="shared" si="36"/>
        <v>0</v>
      </c>
      <c r="G268" s="20">
        <f t="shared" si="42"/>
        <v>0</v>
      </c>
      <c r="H268" s="26">
        <f t="shared" si="43"/>
        <v>0</v>
      </c>
      <c r="J268" s="22">
        <f t="shared" si="37"/>
        <v>0</v>
      </c>
      <c r="K268" s="22">
        <f>IF(N267=0,0,IF(N267&lt;BondCalculator!$B$12+BondCalculator!$B$7,N267+L268,BondCalculator!$B$12+BondCalculator!$B$7))</f>
        <v>0</v>
      </c>
      <c r="L268" s="22">
        <f>J268*BondCalculator!$B$5/12</f>
        <v>0</v>
      </c>
      <c r="M268" s="22">
        <f t="shared" si="38"/>
        <v>0</v>
      </c>
      <c r="N268" s="22">
        <f t="shared" si="39"/>
        <v>0</v>
      </c>
      <c r="P268" s="22">
        <f t="shared" si="40"/>
        <v>0</v>
      </c>
      <c r="Q268" s="23">
        <f>-PV(BondCalculator!$B$9/12,B268,0,1,0)</f>
        <v>0.26668195765358638</v>
      </c>
      <c r="S268" s="24">
        <f t="shared" si="41"/>
        <v>0</v>
      </c>
    </row>
    <row r="269" spans="1:19" ht="16.05" customHeight="1" x14ac:dyDescent="0.25">
      <c r="A269" s="19" t="s">
        <v>121</v>
      </c>
      <c r="B269" s="35">
        <v>266</v>
      </c>
      <c r="C269" s="20">
        <f t="shared" si="44"/>
        <v>0</v>
      </c>
      <c r="D269" s="20">
        <f>IF(G268=0,0,IF(G268&lt;BondCalculator!$B$12,G268+E269,BondCalculator!$B$12))</f>
        <v>0</v>
      </c>
      <c r="E269" s="20">
        <f>C269*BondCalculator!$B$5/12</f>
        <v>0</v>
      </c>
      <c r="F269" s="20">
        <f t="shared" si="36"/>
        <v>0</v>
      </c>
      <c r="G269" s="20">
        <f t="shared" si="42"/>
        <v>0</v>
      </c>
      <c r="H269" s="26">
        <f t="shared" si="43"/>
        <v>0</v>
      </c>
      <c r="J269" s="22">
        <f t="shared" si="37"/>
        <v>0</v>
      </c>
      <c r="K269" s="22">
        <f>IF(N268=0,0,IF(N268&lt;BondCalculator!$B$12+BondCalculator!$B$7,N268+L269,BondCalculator!$B$12+BondCalculator!$B$7))</f>
        <v>0</v>
      </c>
      <c r="L269" s="22">
        <f>J269*BondCalculator!$B$5/12</f>
        <v>0</v>
      </c>
      <c r="M269" s="22">
        <f t="shared" si="38"/>
        <v>0</v>
      </c>
      <c r="N269" s="22">
        <f t="shared" si="39"/>
        <v>0</v>
      </c>
      <c r="P269" s="22">
        <f t="shared" si="40"/>
        <v>0</v>
      </c>
      <c r="Q269" s="23">
        <f>-PV(BondCalculator!$B$9/12,B269,0,1,0)</f>
        <v>0.26535518174486211</v>
      </c>
      <c r="S269" s="24">
        <f t="shared" si="41"/>
        <v>0</v>
      </c>
    </row>
    <row r="270" spans="1:19" ht="16.05" customHeight="1" x14ac:dyDescent="0.25">
      <c r="A270" s="19" t="s">
        <v>121</v>
      </c>
      <c r="B270" s="35">
        <v>267</v>
      </c>
      <c r="C270" s="20">
        <f t="shared" si="44"/>
        <v>0</v>
      </c>
      <c r="D270" s="20">
        <f>IF(G269=0,0,IF(G269&lt;BondCalculator!$B$12,G269+E270,BondCalculator!$B$12))</f>
        <v>0</v>
      </c>
      <c r="E270" s="20">
        <f>C270*BondCalculator!$B$5/12</f>
        <v>0</v>
      </c>
      <c r="F270" s="20">
        <f t="shared" si="36"/>
        <v>0</v>
      </c>
      <c r="G270" s="20">
        <f t="shared" si="42"/>
        <v>0</v>
      </c>
      <c r="H270" s="26">
        <f t="shared" si="43"/>
        <v>0</v>
      </c>
      <c r="J270" s="22">
        <f t="shared" si="37"/>
        <v>0</v>
      </c>
      <c r="K270" s="22">
        <f>IF(N269=0,0,IF(N269&lt;BondCalculator!$B$12+BondCalculator!$B$7,N269+L270,BondCalculator!$B$12+BondCalculator!$B$7))</f>
        <v>0</v>
      </c>
      <c r="L270" s="22">
        <f>J270*BondCalculator!$B$5/12</f>
        <v>0</v>
      </c>
      <c r="M270" s="22">
        <f t="shared" si="38"/>
        <v>0</v>
      </c>
      <c r="N270" s="22">
        <f t="shared" si="39"/>
        <v>0</v>
      </c>
      <c r="P270" s="22">
        <f t="shared" si="40"/>
        <v>0</v>
      </c>
      <c r="Q270" s="23">
        <f>-PV(BondCalculator!$B$9/12,B270,0,1,0)</f>
        <v>0.26403500671130559</v>
      </c>
      <c r="S270" s="24">
        <f t="shared" si="41"/>
        <v>0</v>
      </c>
    </row>
    <row r="271" spans="1:19" ht="16.05" customHeight="1" x14ac:dyDescent="0.25">
      <c r="A271" s="19" t="s">
        <v>121</v>
      </c>
      <c r="B271" s="35">
        <v>268</v>
      </c>
      <c r="C271" s="20">
        <f t="shared" si="44"/>
        <v>0</v>
      </c>
      <c r="D271" s="20">
        <f>IF(G270=0,0,IF(G270&lt;BondCalculator!$B$12,G270+E271,BondCalculator!$B$12))</f>
        <v>0</v>
      </c>
      <c r="E271" s="20">
        <f>C271*BondCalculator!$B$5/12</f>
        <v>0</v>
      </c>
      <c r="F271" s="20">
        <f t="shared" si="36"/>
        <v>0</v>
      </c>
      <c r="G271" s="20">
        <f t="shared" si="42"/>
        <v>0</v>
      </c>
      <c r="H271" s="26">
        <f t="shared" si="43"/>
        <v>0</v>
      </c>
      <c r="J271" s="22">
        <f t="shared" si="37"/>
        <v>0</v>
      </c>
      <c r="K271" s="22">
        <f>IF(N270=0,0,IF(N270&lt;BondCalculator!$B$12+BondCalculator!$B$7,N270+L271,BondCalculator!$B$12+BondCalculator!$B$7))</f>
        <v>0</v>
      </c>
      <c r="L271" s="22">
        <f>J271*BondCalculator!$B$5/12</f>
        <v>0</v>
      </c>
      <c r="M271" s="22">
        <f t="shared" si="38"/>
        <v>0</v>
      </c>
      <c r="N271" s="22">
        <f t="shared" si="39"/>
        <v>0</v>
      </c>
      <c r="P271" s="22">
        <f t="shared" si="40"/>
        <v>0</v>
      </c>
      <c r="Q271" s="23">
        <f>-PV(BondCalculator!$B$9/12,B271,0,1,0)</f>
        <v>0.26272139971274194</v>
      </c>
      <c r="S271" s="24">
        <f t="shared" si="41"/>
        <v>0</v>
      </c>
    </row>
    <row r="272" spans="1:19" ht="16.05" customHeight="1" x14ac:dyDescent="0.25">
      <c r="A272" s="19" t="s">
        <v>121</v>
      </c>
      <c r="B272" s="35">
        <v>269</v>
      </c>
      <c r="C272" s="20">
        <f t="shared" si="44"/>
        <v>0</v>
      </c>
      <c r="D272" s="20">
        <f>IF(G271=0,0,IF(G271&lt;BondCalculator!$B$12,G271+E272,BondCalculator!$B$12))</f>
        <v>0</v>
      </c>
      <c r="E272" s="20">
        <f>C272*BondCalculator!$B$5/12</f>
        <v>0</v>
      </c>
      <c r="F272" s="20">
        <f t="shared" si="36"/>
        <v>0</v>
      </c>
      <c r="G272" s="20">
        <f t="shared" si="42"/>
        <v>0</v>
      </c>
      <c r="H272" s="26">
        <f t="shared" si="43"/>
        <v>0</v>
      </c>
      <c r="J272" s="22">
        <f t="shared" si="37"/>
        <v>0</v>
      </c>
      <c r="K272" s="22">
        <f>IF(N271=0,0,IF(N271&lt;BondCalculator!$B$12+BondCalculator!$B$7,N271+L272,BondCalculator!$B$12+BondCalculator!$B$7))</f>
        <v>0</v>
      </c>
      <c r="L272" s="22">
        <f>J272*BondCalculator!$B$5/12</f>
        <v>0</v>
      </c>
      <c r="M272" s="22">
        <f t="shared" si="38"/>
        <v>0</v>
      </c>
      <c r="N272" s="22">
        <f t="shared" si="39"/>
        <v>0</v>
      </c>
      <c r="P272" s="22">
        <f t="shared" si="40"/>
        <v>0</v>
      </c>
      <c r="Q272" s="23">
        <f>-PV(BondCalculator!$B$9/12,B272,0,1,0)</f>
        <v>0.26141432807238008</v>
      </c>
      <c r="S272" s="24">
        <f t="shared" si="41"/>
        <v>0</v>
      </c>
    </row>
    <row r="273" spans="1:19" ht="16.05" customHeight="1" x14ac:dyDescent="0.25">
      <c r="A273" s="19" t="s">
        <v>121</v>
      </c>
      <c r="B273" s="35">
        <v>270</v>
      </c>
      <c r="C273" s="20">
        <f t="shared" si="44"/>
        <v>0</v>
      </c>
      <c r="D273" s="20">
        <f>IF(G272=0,0,IF(G272&lt;BondCalculator!$B$12,G272+E273,BondCalculator!$B$12))</f>
        <v>0</v>
      </c>
      <c r="E273" s="20">
        <f>C273*BondCalculator!$B$5/12</f>
        <v>0</v>
      </c>
      <c r="F273" s="20">
        <f t="shared" si="36"/>
        <v>0</v>
      </c>
      <c r="G273" s="20">
        <f t="shared" si="42"/>
        <v>0</v>
      </c>
      <c r="H273" s="26">
        <f t="shared" si="43"/>
        <v>0</v>
      </c>
      <c r="J273" s="22">
        <f t="shared" si="37"/>
        <v>0</v>
      </c>
      <c r="K273" s="22">
        <f>IF(N272=0,0,IF(N272&lt;BondCalculator!$B$12+BondCalculator!$B$7,N272+L273,BondCalculator!$B$12+BondCalculator!$B$7))</f>
        <v>0</v>
      </c>
      <c r="L273" s="22">
        <f>J273*BondCalculator!$B$5/12</f>
        <v>0</v>
      </c>
      <c r="M273" s="22">
        <f t="shared" si="38"/>
        <v>0</v>
      </c>
      <c r="N273" s="22">
        <f t="shared" si="39"/>
        <v>0</v>
      </c>
      <c r="P273" s="22">
        <f t="shared" si="40"/>
        <v>0</v>
      </c>
      <c r="Q273" s="23">
        <f>-PV(BondCalculator!$B$9/12,B273,0,1,0)</f>
        <v>0.26011375927600017</v>
      </c>
      <c r="S273" s="24">
        <f t="shared" si="41"/>
        <v>0</v>
      </c>
    </row>
    <row r="274" spans="1:19" ht="16.05" customHeight="1" x14ac:dyDescent="0.25">
      <c r="A274" s="19" t="s">
        <v>121</v>
      </c>
      <c r="B274" s="35">
        <v>271</v>
      </c>
      <c r="C274" s="20">
        <f t="shared" si="44"/>
        <v>0</v>
      </c>
      <c r="D274" s="20">
        <f>IF(G273=0,0,IF(G273&lt;BondCalculator!$B$12,G273+E274,BondCalculator!$B$12))</f>
        <v>0</v>
      </c>
      <c r="E274" s="20">
        <f>C274*BondCalculator!$B$5/12</f>
        <v>0</v>
      </c>
      <c r="F274" s="20">
        <f t="shared" si="36"/>
        <v>0</v>
      </c>
      <c r="G274" s="20">
        <f t="shared" si="42"/>
        <v>0</v>
      </c>
      <c r="H274" s="26">
        <f t="shared" si="43"/>
        <v>0</v>
      </c>
      <c r="J274" s="22">
        <f t="shared" si="37"/>
        <v>0</v>
      </c>
      <c r="K274" s="22">
        <f>IF(N273=0,0,IF(N273&lt;BondCalculator!$B$12+BondCalculator!$B$7,N273+L274,BondCalculator!$B$12+BondCalculator!$B$7))</f>
        <v>0</v>
      </c>
      <c r="L274" s="22">
        <f>J274*BondCalculator!$B$5/12</f>
        <v>0</v>
      </c>
      <c r="M274" s="22">
        <f t="shared" si="38"/>
        <v>0</v>
      </c>
      <c r="N274" s="22">
        <f t="shared" si="39"/>
        <v>0</v>
      </c>
      <c r="P274" s="22">
        <f t="shared" si="40"/>
        <v>0</v>
      </c>
      <c r="Q274" s="23">
        <f>-PV(BondCalculator!$B$9/12,B274,0,1,0)</f>
        <v>0.25881966097114451</v>
      </c>
      <c r="S274" s="24">
        <f t="shared" si="41"/>
        <v>0</v>
      </c>
    </row>
    <row r="275" spans="1:19" ht="16.05" customHeight="1" x14ac:dyDescent="0.25">
      <c r="A275" s="19" t="s">
        <v>121</v>
      </c>
      <c r="B275" s="35">
        <v>272</v>
      </c>
      <c r="C275" s="20">
        <f t="shared" si="44"/>
        <v>0</v>
      </c>
      <c r="D275" s="20">
        <f>IF(G274=0,0,IF(G274&lt;BondCalculator!$B$12,G274+E275,BondCalculator!$B$12))</f>
        <v>0</v>
      </c>
      <c r="E275" s="20">
        <f>C275*BondCalculator!$B$5/12</f>
        <v>0</v>
      </c>
      <c r="F275" s="20">
        <f t="shared" si="36"/>
        <v>0</v>
      </c>
      <c r="G275" s="20">
        <f t="shared" si="42"/>
        <v>0</v>
      </c>
      <c r="H275" s="26">
        <f t="shared" si="43"/>
        <v>0</v>
      </c>
      <c r="J275" s="22">
        <f t="shared" si="37"/>
        <v>0</v>
      </c>
      <c r="K275" s="22">
        <f>IF(N274=0,0,IF(N274&lt;BondCalculator!$B$12+BondCalculator!$B$7,N274+L275,BondCalculator!$B$12+BondCalculator!$B$7))</f>
        <v>0</v>
      </c>
      <c r="L275" s="22">
        <f>J275*BondCalculator!$B$5/12</f>
        <v>0</v>
      </c>
      <c r="M275" s="22">
        <f t="shared" si="38"/>
        <v>0</v>
      </c>
      <c r="N275" s="22">
        <f t="shared" si="39"/>
        <v>0</v>
      </c>
      <c r="P275" s="22">
        <f t="shared" si="40"/>
        <v>0</v>
      </c>
      <c r="Q275" s="23">
        <f>-PV(BondCalculator!$B$9/12,B275,0,1,0)</f>
        <v>0.25753200096631296</v>
      </c>
      <c r="S275" s="24">
        <f t="shared" si="41"/>
        <v>0</v>
      </c>
    </row>
    <row r="276" spans="1:19" ht="16.05" customHeight="1" x14ac:dyDescent="0.25">
      <c r="A276" s="19" t="s">
        <v>121</v>
      </c>
      <c r="B276" s="35">
        <v>273</v>
      </c>
      <c r="C276" s="20">
        <f t="shared" si="44"/>
        <v>0</v>
      </c>
      <c r="D276" s="20">
        <f>IF(G275=0,0,IF(G275&lt;BondCalculator!$B$12,G275+E276,BondCalculator!$B$12))</f>
        <v>0</v>
      </c>
      <c r="E276" s="20">
        <f>C276*BondCalculator!$B$5/12</f>
        <v>0</v>
      </c>
      <c r="F276" s="20">
        <f t="shared" si="36"/>
        <v>0</v>
      </c>
      <c r="G276" s="20">
        <f t="shared" si="42"/>
        <v>0</v>
      </c>
      <c r="H276" s="26">
        <f t="shared" si="43"/>
        <v>0</v>
      </c>
      <c r="J276" s="22">
        <f t="shared" si="37"/>
        <v>0</v>
      </c>
      <c r="K276" s="22">
        <f>IF(N275=0,0,IF(N275&lt;BondCalculator!$B$12+BondCalculator!$B$7,N275+L276,BondCalculator!$B$12+BondCalculator!$B$7))</f>
        <v>0</v>
      </c>
      <c r="L276" s="22">
        <f>J276*BondCalculator!$B$5/12</f>
        <v>0</v>
      </c>
      <c r="M276" s="22">
        <f t="shared" si="38"/>
        <v>0</v>
      </c>
      <c r="N276" s="22">
        <f t="shared" si="39"/>
        <v>0</v>
      </c>
      <c r="P276" s="22">
        <f t="shared" si="40"/>
        <v>0</v>
      </c>
      <c r="Q276" s="23">
        <f>-PV(BondCalculator!$B$9/12,B276,0,1,0)</f>
        <v>0.25625074723016217</v>
      </c>
      <c r="S276" s="24">
        <f t="shared" si="41"/>
        <v>0</v>
      </c>
    </row>
    <row r="277" spans="1:19" ht="16.05" customHeight="1" x14ac:dyDescent="0.25">
      <c r="A277" s="19" t="s">
        <v>121</v>
      </c>
      <c r="B277" s="35">
        <v>274</v>
      </c>
      <c r="C277" s="20">
        <f t="shared" si="44"/>
        <v>0</v>
      </c>
      <c r="D277" s="20">
        <f>IF(G276=0,0,IF(G276&lt;BondCalculator!$B$12,G276+E277,BondCalculator!$B$12))</f>
        <v>0</v>
      </c>
      <c r="E277" s="20">
        <f>C277*BondCalculator!$B$5/12</f>
        <v>0</v>
      </c>
      <c r="F277" s="20">
        <f t="shared" si="36"/>
        <v>0</v>
      </c>
      <c r="G277" s="20">
        <f t="shared" si="42"/>
        <v>0</v>
      </c>
      <c r="H277" s="26">
        <f t="shared" si="43"/>
        <v>0</v>
      </c>
      <c r="J277" s="22">
        <f t="shared" si="37"/>
        <v>0</v>
      </c>
      <c r="K277" s="22">
        <f>IF(N276=0,0,IF(N276&lt;BondCalculator!$B$12+BondCalculator!$B$7,N276+L277,BondCalculator!$B$12+BondCalculator!$B$7))</f>
        <v>0</v>
      </c>
      <c r="L277" s="22">
        <f>J277*BondCalculator!$B$5/12</f>
        <v>0</v>
      </c>
      <c r="M277" s="22">
        <f t="shared" si="38"/>
        <v>0</v>
      </c>
      <c r="N277" s="22">
        <f t="shared" si="39"/>
        <v>0</v>
      </c>
      <c r="P277" s="22">
        <f t="shared" si="40"/>
        <v>0</v>
      </c>
      <c r="Q277" s="23">
        <f>-PV(BondCalculator!$B$9/12,B277,0,1,0)</f>
        <v>0.25497586789070864</v>
      </c>
      <c r="S277" s="24">
        <f t="shared" si="41"/>
        <v>0</v>
      </c>
    </row>
    <row r="278" spans="1:19" ht="16.05" customHeight="1" x14ac:dyDescent="0.25">
      <c r="A278" s="19" t="s">
        <v>121</v>
      </c>
      <c r="B278" s="35">
        <v>275</v>
      </c>
      <c r="C278" s="20">
        <f t="shared" si="44"/>
        <v>0</v>
      </c>
      <c r="D278" s="20">
        <f>IF(G277=0,0,IF(G277&lt;BondCalculator!$B$12,G277+E278,BondCalculator!$B$12))</f>
        <v>0</v>
      </c>
      <c r="E278" s="20">
        <f>C278*BondCalculator!$B$5/12</f>
        <v>0</v>
      </c>
      <c r="F278" s="20">
        <f t="shared" si="36"/>
        <v>0</v>
      </c>
      <c r="G278" s="20">
        <f t="shared" si="42"/>
        <v>0</v>
      </c>
      <c r="H278" s="26">
        <f t="shared" si="43"/>
        <v>0</v>
      </c>
      <c r="J278" s="22">
        <f t="shared" si="37"/>
        <v>0</v>
      </c>
      <c r="K278" s="22">
        <f>IF(N277=0,0,IF(N277&lt;BondCalculator!$B$12+BondCalculator!$B$7,N277+L278,BondCalculator!$B$12+BondCalculator!$B$7))</f>
        <v>0</v>
      </c>
      <c r="L278" s="22">
        <f>J278*BondCalculator!$B$5/12</f>
        <v>0</v>
      </c>
      <c r="M278" s="22">
        <f t="shared" si="38"/>
        <v>0</v>
      </c>
      <c r="N278" s="22">
        <f t="shared" si="39"/>
        <v>0</v>
      </c>
      <c r="P278" s="22">
        <f t="shared" si="40"/>
        <v>0</v>
      </c>
      <c r="Q278" s="23">
        <f>-PV(BondCalculator!$B$9/12,B278,0,1,0)</f>
        <v>0.25370733123453604</v>
      </c>
      <c r="S278" s="24">
        <f t="shared" si="41"/>
        <v>0</v>
      </c>
    </row>
    <row r="279" spans="1:19" ht="16.05" customHeight="1" x14ac:dyDescent="0.25">
      <c r="A279" s="19" t="s">
        <v>121</v>
      </c>
      <c r="B279" s="35">
        <v>276</v>
      </c>
      <c r="C279" s="20">
        <f t="shared" si="44"/>
        <v>0</v>
      </c>
      <c r="D279" s="20">
        <f>IF(G278=0,0,IF(G278&lt;BondCalculator!$B$12,G278+E279,BondCalculator!$B$12))</f>
        <v>0</v>
      </c>
      <c r="E279" s="20">
        <f>C279*BondCalculator!$B$5/12</f>
        <v>0</v>
      </c>
      <c r="F279" s="20">
        <f t="shared" si="36"/>
        <v>0</v>
      </c>
      <c r="G279" s="20">
        <f t="shared" si="42"/>
        <v>0</v>
      </c>
      <c r="H279" s="26">
        <f t="shared" si="43"/>
        <v>0</v>
      </c>
      <c r="J279" s="22">
        <f t="shared" si="37"/>
        <v>0</v>
      </c>
      <c r="K279" s="22">
        <f>IF(N278=0,0,IF(N278&lt;BondCalculator!$B$12+BondCalculator!$B$7,N278+L279,BondCalculator!$B$12+BondCalculator!$B$7))</f>
        <v>0</v>
      </c>
      <c r="L279" s="22">
        <f>J279*BondCalculator!$B$5/12</f>
        <v>0</v>
      </c>
      <c r="M279" s="22">
        <f t="shared" si="38"/>
        <v>0</v>
      </c>
      <c r="N279" s="22">
        <f t="shared" si="39"/>
        <v>0</v>
      </c>
      <c r="P279" s="22">
        <f t="shared" si="40"/>
        <v>0</v>
      </c>
      <c r="Q279" s="23">
        <f>-PV(BondCalculator!$B$9/12,B279,0,1,0)</f>
        <v>0.25244510570600603</v>
      </c>
      <c r="S279" s="24">
        <f t="shared" si="41"/>
        <v>0</v>
      </c>
    </row>
    <row r="280" spans="1:19" ht="16.05" customHeight="1" x14ac:dyDescent="0.25">
      <c r="A280" s="19" t="s">
        <v>122</v>
      </c>
      <c r="B280" s="35">
        <v>277</v>
      </c>
      <c r="C280" s="20">
        <f t="shared" si="44"/>
        <v>0</v>
      </c>
      <c r="D280" s="20">
        <f>IF(G279=0,0,IF(G279&lt;BondCalculator!$B$12,G279+E280,BondCalculator!$B$12))</f>
        <v>0</v>
      </c>
      <c r="E280" s="20">
        <f>C280*BondCalculator!$B$5/12</f>
        <v>0</v>
      </c>
      <c r="F280" s="20">
        <f t="shared" si="36"/>
        <v>0</v>
      </c>
      <c r="G280" s="20">
        <f t="shared" si="42"/>
        <v>0</v>
      </c>
      <c r="H280" s="26">
        <f t="shared" si="43"/>
        <v>0</v>
      </c>
      <c r="J280" s="22">
        <f t="shared" si="37"/>
        <v>0</v>
      </c>
      <c r="K280" s="22">
        <f>IF(N279=0,0,IF(N279&lt;BondCalculator!$B$12+BondCalculator!$B$7,N279+L280,BondCalculator!$B$12+BondCalculator!$B$7))</f>
        <v>0</v>
      </c>
      <c r="L280" s="22">
        <f>J280*BondCalculator!$B$5/12</f>
        <v>0</v>
      </c>
      <c r="M280" s="22">
        <f t="shared" si="38"/>
        <v>0</v>
      </c>
      <c r="N280" s="22">
        <f t="shared" si="39"/>
        <v>0</v>
      </c>
      <c r="P280" s="22">
        <f t="shared" si="40"/>
        <v>0</v>
      </c>
      <c r="Q280" s="23">
        <f>-PV(BondCalculator!$B$9/12,B280,0,1,0)</f>
        <v>0.25118915990647372</v>
      </c>
      <c r="S280" s="24">
        <f t="shared" si="41"/>
        <v>0</v>
      </c>
    </row>
    <row r="281" spans="1:19" ht="16.05" customHeight="1" x14ac:dyDescent="0.25">
      <c r="A281" s="19" t="s">
        <v>122</v>
      </c>
      <c r="B281" s="35">
        <v>278</v>
      </c>
      <c r="C281" s="20">
        <f t="shared" si="44"/>
        <v>0</v>
      </c>
      <c r="D281" s="20">
        <f>IF(G280=0,0,IF(G280&lt;BondCalculator!$B$12,G280+E281,BondCalculator!$B$12))</f>
        <v>0</v>
      </c>
      <c r="E281" s="20">
        <f>C281*BondCalculator!$B$5/12</f>
        <v>0</v>
      </c>
      <c r="F281" s="20">
        <f t="shared" si="36"/>
        <v>0</v>
      </c>
      <c r="G281" s="20">
        <f t="shared" si="42"/>
        <v>0</v>
      </c>
      <c r="H281" s="26">
        <f t="shared" si="43"/>
        <v>0</v>
      </c>
      <c r="J281" s="22">
        <f t="shared" si="37"/>
        <v>0</v>
      </c>
      <c r="K281" s="22">
        <f>IF(N280=0,0,IF(N280&lt;BondCalculator!$B$12+BondCalculator!$B$7,N280+L281,BondCalculator!$B$12+BondCalculator!$B$7))</f>
        <v>0</v>
      </c>
      <c r="L281" s="22">
        <f>J281*BondCalculator!$B$5/12</f>
        <v>0</v>
      </c>
      <c r="M281" s="22">
        <f t="shared" si="38"/>
        <v>0</v>
      </c>
      <c r="N281" s="22">
        <f t="shared" si="39"/>
        <v>0</v>
      </c>
      <c r="P281" s="22">
        <f t="shared" si="40"/>
        <v>0</v>
      </c>
      <c r="Q281" s="23">
        <f>-PV(BondCalculator!$B$9/12,B281,0,1,0)</f>
        <v>0.24993946259350622</v>
      </c>
      <c r="S281" s="24">
        <f t="shared" si="41"/>
        <v>0</v>
      </c>
    </row>
    <row r="282" spans="1:19" ht="16.05" customHeight="1" x14ac:dyDescent="0.25">
      <c r="A282" s="19" t="s">
        <v>122</v>
      </c>
      <c r="B282" s="35">
        <v>279</v>
      </c>
      <c r="C282" s="20">
        <f t="shared" si="44"/>
        <v>0</v>
      </c>
      <c r="D282" s="20">
        <f>IF(G281=0,0,IF(G281&lt;BondCalculator!$B$12,G281+E282,BondCalculator!$B$12))</f>
        <v>0</v>
      </c>
      <c r="E282" s="20">
        <f>C282*BondCalculator!$B$5/12</f>
        <v>0</v>
      </c>
      <c r="F282" s="20">
        <f t="shared" si="36"/>
        <v>0</v>
      </c>
      <c r="G282" s="20">
        <f t="shared" si="42"/>
        <v>0</v>
      </c>
      <c r="H282" s="26">
        <f t="shared" si="43"/>
        <v>0</v>
      </c>
      <c r="J282" s="22">
        <f t="shared" si="37"/>
        <v>0</v>
      </c>
      <c r="K282" s="22">
        <f>IF(N281=0,0,IF(N281&lt;BondCalculator!$B$12+BondCalculator!$B$7,N281+L282,BondCalculator!$B$12+BondCalculator!$B$7))</f>
        <v>0</v>
      </c>
      <c r="L282" s="22">
        <f>J282*BondCalculator!$B$5/12</f>
        <v>0</v>
      </c>
      <c r="M282" s="22">
        <f t="shared" si="38"/>
        <v>0</v>
      </c>
      <c r="N282" s="22">
        <f t="shared" si="39"/>
        <v>0</v>
      </c>
      <c r="P282" s="22">
        <f t="shared" si="40"/>
        <v>0</v>
      </c>
      <c r="Q282" s="23">
        <f>-PV(BondCalculator!$B$9/12,B282,0,1,0)</f>
        <v>0.24869598268010576</v>
      </c>
      <c r="S282" s="24">
        <f t="shared" si="41"/>
        <v>0</v>
      </c>
    </row>
    <row r="283" spans="1:19" ht="16.05" customHeight="1" x14ac:dyDescent="0.25">
      <c r="A283" s="19" t="s">
        <v>122</v>
      </c>
      <c r="B283" s="35">
        <v>280</v>
      </c>
      <c r="C283" s="20">
        <f t="shared" si="44"/>
        <v>0</v>
      </c>
      <c r="D283" s="20">
        <f>IF(G282=0,0,IF(G282&lt;BondCalculator!$B$12,G282+E283,BondCalculator!$B$12))</f>
        <v>0</v>
      </c>
      <c r="E283" s="20">
        <f>C283*BondCalculator!$B$5/12</f>
        <v>0</v>
      </c>
      <c r="F283" s="20">
        <f t="shared" si="36"/>
        <v>0</v>
      </c>
      <c r="G283" s="20">
        <f t="shared" si="42"/>
        <v>0</v>
      </c>
      <c r="H283" s="26">
        <f t="shared" si="43"/>
        <v>0</v>
      </c>
      <c r="J283" s="22">
        <f t="shared" si="37"/>
        <v>0</v>
      </c>
      <c r="K283" s="22">
        <f>IF(N282=0,0,IF(N282&lt;BondCalculator!$B$12+BondCalculator!$B$7,N282+L283,BondCalculator!$B$12+BondCalculator!$B$7))</f>
        <v>0</v>
      </c>
      <c r="L283" s="22">
        <f>J283*BondCalculator!$B$5/12</f>
        <v>0</v>
      </c>
      <c r="M283" s="22">
        <f t="shared" si="38"/>
        <v>0</v>
      </c>
      <c r="N283" s="22">
        <f t="shared" si="39"/>
        <v>0</v>
      </c>
      <c r="P283" s="22">
        <f t="shared" si="40"/>
        <v>0</v>
      </c>
      <c r="Q283" s="23">
        <f>-PV(BondCalculator!$B$9/12,B283,0,1,0)</f>
        <v>0.24745868923393602</v>
      </c>
      <c r="S283" s="24">
        <f t="shared" si="41"/>
        <v>0</v>
      </c>
    </row>
    <row r="284" spans="1:19" ht="16.05" customHeight="1" x14ac:dyDescent="0.25">
      <c r="A284" s="19" t="s">
        <v>122</v>
      </c>
      <c r="B284" s="35">
        <v>281</v>
      </c>
      <c r="C284" s="20">
        <f t="shared" si="44"/>
        <v>0</v>
      </c>
      <c r="D284" s="20">
        <f>IF(G283=0,0,IF(G283&lt;BondCalculator!$B$12,G283+E284,BondCalculator!$B$12))</f>
        <v>0</v>
      </c>
      <c r="E284" s="20">
        <f>C284*BondCalculator!$B$5/12</f>
        <v>0</v>
      </c>
      <c r="F284" s="20">
        <f t="shared" si="36"/>
        <v>0</v>
      </c>
      <c r="G284" s="20">
        <f t="shared" si="42"/>
        <v>0</v>
      </c>
      <c r="H284" s="26">
        <f t="shared" si="43"/>
        <v>0</v>
      </c>
      <c r="J284" s="22">
        <f t="shared" si="37"/>
        <v>0</v>
      </c>
      <c r="K284" s="22">
        <f>IF(N283=0,0,IF(N283&lt;BondCalculator!$B$12+BondCalculator!$B$7,N283+L284,BondCalculator!$B$12+BondCalculator!$B$7))</f>
        <v>0</v>
      </c>
      <c r="L284" s="22">
        <f>J284*BondCalculator!$B$5/12</f>
        <v>0</v>
      </c>
      <c r="M284" s="22">
        <f t="shared" si="38"/>
        <v>0</v>
      </c>
      <c r="N284" s="22">
        <f t="shared" si="39"/>
        <v>0</v>
      </c>
      <c r="P284" s="22">
        <f t="shared" si="40"/>
        <v>0</v>
      </c>
      <c r="Q284" s="23">
        <f>-PV(BondCalculator!$B$9/12,B284,0,1,0)</f>
        <v>0.24622755147655334</v>
      </c>
      <c r="S284" s="24">
        <f t="shared" si="41"/>
        <v>0</v>
      </c>
    </row>
    <row r="285" spans="1:19" ht="16.05" customHeight="1" x14ac:dyDescent="0.25">
      <c r="A285" s="19" t="s">
        <v>122</v>
      </c>
      <c r="B285" s="35">
        <v>282</v>
      </c>
      <c r="C285" s="20">
        <f t="shared" si="44"/>
        <v>0</v>
      </c>
      <c r="D285" s="20">
        <f>IF(G284=0,0,IF(G284&lt;BondCalculator!$B$12,G284+E285,BondCalculator!$B$12))</f>
        <v>0</v>
      </c>
      <c r="E285" s="20">
        <f>C285*BondCalculator!$B$5/12</f>
        <v>0</v>
      </c>
      <c r="F285" s="20">
        <f t="shared" si="36"/>
        <v>0</v>
      </c>
      <c r="G285" s="20">
        <f t="shared" si="42"/>
        <v>0</v>
      </c>
      <c r="H285" s="26">
        <f t="shared" si="43"/>
        <v>0</v>
      </c>
      <c r="J285" s="22">
        <f t="shared" si="37"/>
        <v>0</v>
      </c>
      <c r="K285" s="22">
        <f>IF(N284=0,0,IF(N284&lt;BondCalculator!$B$12+BondCalculator!$B$7,N284+L285,BondCalculator!$B$12+BondCalculator!$B$7))</f>
        <v>0</v>
      </c>
      <c r="L285" s="22">
        <f>J285*BondCalculator!$B$5/12</f>
        <v>0</v>
      </c>
      <c r="M285" s="22">
        <f t="shared" si="38"/>
        <v>0</v>
      </c>
      <c r="N285" s="22">
        <f t="shared" si="39"/>
        <v>0</v>
      </c>
      <c r="P285" s="22">
        <f t="shared" si="40"/>
        <v>0</v>
      </c>
      <c r="Q285" s="23">
        <f>-PV(BondCalculator!$B$9/12,B285,0,1,0)</f>
        <v>0.24500253878264011</v>
      </c>
      <c r="S285" s="24">
        <f t="shared" si="41"/>
        <v>0</v>
      </c>
    </row>
    <row r="286" spans="1:19" ht="16.05" customHeight="1" x14ac:dyDescent="0.25">
      <c r="A286" s="19" t="s">
        <v>122</v>
      </c>
      <c r="B286" s="35">
        <v>283</v>
      </c>
      <c r="C286" s="20">
        <f t="shared" si="44"/>
        <v>0</v>
      </c>
      <c r="D286" s="20">
        <f>IF(G285=0,0,IF(G285&lt;BondCalculator!$B$12,G285+E286,BondCalculator!$B$12))</f>
        <v>0</v>
      </c>
      <c r="E286" s="20">
        <f>C286*BondCalculator!$B$5/12</f>
        <v>0</v>
      </c>
      <c r="F286" s="20">
        <f t="shared" si="36"/>
        <v>0</v>
      </c>
      <c r="G286" s="20">
        <f t="shared" si="42"/>
        <v>0</v>
      </c>
      <c r="H286" s="26">
        <f t="shared" si="43"/>
        <v>0</v>
      </c>
      <c r="J286" s="22">
        <f t="shared" si="37"/>
        <v>0</v>
      </c>
      <c r="K286" s="22">
        <f>IF(N285=0,0,IF(N285&lt;BondCalculator!$B$12+BondCalculator!$B$7,N285+L286,BondCalculator!$B$12+BondCalculator!$B$7))</f>
        <v>0</v>
      </c>
      <c r="L286" s="22">
        <f>J286*BondCalculator!$B$5/12</f>
        <v>0</v>
      </c>
      <c r="M286" s="22">
        <f t="shared" si="38"/>
        <v>0</v>
      </c>
      <c r="N286" s="22">
        <f t="shared" si="39"/>
        <v>0</v>
      </c>
      <c r="P286" s="22">
        <f t="shared" si="40"/>
        <v>0</v>
      </c>
      <c r="Q286" s="23">
        <f>-PV(BondCalculator!$B$9/12,B286,0,1,0)</f>
        <v>0.24378362067924397</v>
      </c>
      <c r="S286" s="24">
        <f t="shared" si="41"/>
        <v>0</v>
      </c>
    </row>
    <row r="287" spans="1:19" ht="16.05" customHeight="1" x14ac:dyDescent="0.25">
      <c r="A287" s="19" t="s">
        <v>122</v>
      </c>
      <c r="B287" s="35">
        <v>284</v>
      </c>
      <c r="C287" s="20">
        <f t="shared" si="44"/>
        <v>0</v>
      </c>
      <c r="D287" s="20">
        <f>IF(G286=0,0,IF(G286&lt;BondCalculator!$B$12,G286+E287,BondCalculator!$B$12))</f>
        <v>0</v>
      </c>
      <c r="E287" s="20">
        <f>C287*BondCalculator!$B$5/12</f>
        <v>0</v>
      </c>
      <c r="F287" s="20">
        <f t="shared" si="36"/>
        <v>0</v>
      </c>
      <c r="G287" s="20">
        <f t="shared" si="42"/>
        <v>0</v>
      </c>
      <c r="H287" s="26">
        <f t="shared" si="43"/>
        <v>0</v>
      </c>
      <c r="J287" s="22">
        <f t="shared" si="37"/>
        <v>0</v>
      </c>
      <c r="K287" s="22">
        <f>IF(N286=0,0,IF(N286&lt;BondCalculator!$B$12+BondCalculator!$B$7,N286+L287,BondCalculator!$B$12+BondCalculator!$B$7))</f>
        <v>0</v>
      </c>
      <c r="L287" s="22">
        <f>J287*BondCalculator!$B$5/12</f>
        <v>0</v>
      </c>
      <c r="M287" s="22">
        <f t="shared" si="38"/>
        <v>0</v>
      </c>
      <c r="N287" s="22">
        <f t="shared" si="39"/>
        <v>0</v>
      </c>
      <c r="P287" s="22">
        <f t="shared" si="40"/>
        <v>0</v>
      </c>
      <c r="Q287" s="23">
        <f>-PV(BondCalculator!$B$9/12,B287,0,1,0)</f>
        <v>0.24257076684501891</v>
      </c>
      <c r="S287" s="24">
        <f t="shared" si="41"/>
        <v>0</v>
      </c>
    </row>
    <row r="288" spans="1:19" ht="16.05" customHeight="1" x14ac:dyDescent="0.25">
      <c r="A288" s="19" t="s">
        <v>122</v>
      </c>
      <c r="B288" s="35">
        <v>285</v>
      </c>
      <c r="C288" s="20">
        <f t="shared" si="44"/>
        <v>0</v>
      </c>
      <c r="D288" s="20">
        <f>IF(G287=0,0,IF(G287&lt;BondCalculator!$B$12,G287+E288,BondCalculator!$B$12))</f>
        <v>0</v>
      </c>
      <c r="E288" s="20">
        <f>C288*BondCalculator!$B$5/12</f>
        <v>0</v>
      </c>
      <c r="F288" s="20">
        <f t="shared" si="36"/>
        <v>0</v>
      </c>
      <c r="G288" s="20">
        <f t="shared" si="42"/>
        <v>0</v>
      </c>
      <c r="H288" s="26">
        <f t="shared" si="43"/>
        <v>0</v>
      </c>
      <c r="J288" s="22">
        <f t="shared" si="37"/>
        <v>0</v>
      </c>
      <c r="K288" s="22">
        <f>IF(N287=0,0,IF(N287&lt;BondCalculator!$B$12+BondCalculator!$B$7,N287+L288,BondCalculator!$B$12+BondCalculator!$B$7))</f>
        <v>0</v>
      </c>
      <c r="L288" s="22">
        <f>J288*BondCalculator!$B$5/12</f>
        <v>0</v>
      </c>
      <c r="M288" s="22">
        <f t="shared" si="38"/>
        <v>0</v>
      </c>
      <c r="N288" s="22">
        <f t="shared" si="39"/>
        <v>0</v>
      </c>
      <c r="P288" s="22">
        <f t="shared" si="40"/>
        <v>0</v>
      </c>
      <c r="Q288" s="23">
        <f>-PV(BondCalculator!$B$9/12,B288,0,1,0)</f>
        <v>0.24136394710947159</v>
      </c>
      <c r="S288" s="24">
        <f t="shared" si="41"/>
        <v>0</v>
      </c>
    </row>
    <row r="289" spans="1:19" ht="16.05" customHeight="1" x14ac:dyDescent="0.25">
      <c r="A289" s="19" t="s">
        <v>122</v>
      </c>
      <c r="B289" s="35">
        <v>286</v>
      </c>
      <c r="C289" s="20">
        <f t="shared" si="44"/>
        <v>0</v>
      </c>
      <c r="D289" s="20">
        <f>IF(G288=0,0,IF(G288&lt;BondCalculator!$B$12,G288+E289,BondCalculator!$B$12))</f>
        <v>0</v>
      </c>
      <c r="E289" s="20">
        <f>C289*BondCalculator!$B$5/12</f>
        <v>0</v>
      </c>
      <c r="F289" s="20">
        <f t="shared" si="36"/>
        <v>0</v>
      </c>
      <c r="G289" s="20">
        <f t="shared" si="42"/>
        <v>0</v>
      </c>
      <c r="H289" s="26">
        <f t="shared" si="43"/>
        <v>0</v>
      </c>
      <c r="J289" s="22">
        <f t="shared" si="37"/>
        <v>0</v>
      </c>
      <c r="K289" s="22">
        <f>IF(N288=0,0,IF(N288&lt;BondCalculator!$B$12+BondCalculator!$B$7,N288+L289,BondCalculator!$B$12+BondCalculator!$B$7))</f>
        <v>0</v>
      </c>
      <c r="L289" s="22">
        <f>J289*BondCalculator!$B$5/12</f>
        <v>0</v>
      </c>
      <c r="M289" s="22">
        <f t="shared" si="38"/>
        <v>0</v>
      </c>
      <c r="N289" s="22">
        <f t="shared" si="39"/>
        <v>0</v>
      </c>
      <c r="P289" s="22">
        <f t="shared" si="40"/>
        <v>0</v>
      </c>
      <c r="Q289" s="23">
        <f>-PV(BondCalculator!$B$9/12,B289,0,1,0)</f>
        <v>0.24016313145221058</v>
      </c>
      <c r="S289" s="24">
        <f t="shared" si="41"/>
        <v>0</v>
      </c>
    </row>
    <row r="290" spans="1:19" ht="16.05" customHeight="1" x14ac:dyDescent="0.25">
      <c r="A290" s="19" t="s">
        <v>122</v>
      </c>
      <c r="B290" s="35">
        <v>287</v>
      </c>
      <c r="C290" s="20">
        <f t="shared" si="44"/>
        <v>0</v>
      </c>
      <c r="D290" s="20">
        <f>IF(G289=0,0,IF(G289&lt;BondCalculator!$B$12,G289+E290,BondCalculator!$B$12))</f>
        <v>0</v>
      </c>
      <c r="E290" s="20">
        <f>C290*BondCalculator!$B$5/12</f>
        <v>0</v>
      </c>
      <c r="F290" s="20">
        <f t="shared" si="36"/>
        <v>0</v>
      </c>
      <c r="G290" s="20">
        <f t="shared" si="42"/>
        <v>0</v>
      </c>
      <c r="H290" s="26">
        <f t="shared" si="43"/>
        <v>0</v>
      </c>
      <c r="J290" s="22">
        <f t="shared" si="37"/>
        <v>0</v>
      </c>
      <c r="K290" s="22">
        <f>IF(N289=0,0,IF(N289&lt;BondCalculator!$B$12+BondCalculator!$B$7,N289+L290,BondCalculator!$B$12+BondCalculator!$B$7))</f>
        <v>0</v>
      </c>
      <c r="L290" s="22">
        <f>J290*BondCalculator!$B$5/12</f>
        <v>0</v>
      </c>
      <c r="M290" s="22">
        <f t="shared" si="38"/>
        <v>0</v>
      </c>
      <c r="N290" s="22">
        <f t="shared" si="39"/>
        <v>0</v>
      </c>
      <c r="P290" s="22">
        <f t="shared" si="40"/>
        <v>0</v>
      </c>
      <c r="Q290" s="23">
        <f>-PV(BondCalculator!$B$9/12,B290,0,1,0)</f>
        <v>0.23896829000219963</v>
      </c>
      <c r="S290" s="24">
        <f t="shared" si="41"/>
        <v>0</v>
      </c>
    </row>
    <row r="291" spans="1:19" ht="16.05" customHeight="1" x14ac:dyDescent="0.25">
      <c r="A291" s="19" t="s">
        <v>122</v>
      </c>
      <c r="B291" s="35">
        <v>288</v>
      </c>
      <c r="C291" s="20">
        <f t="shared" si="44"/>
        <v>0</v>
      </c>
      <c r="D291" s="20">
        <f>IF(G290=0,0,IF(G290&lt;BondCalculator!$B$12,G290+E291,BondCalculator!$B$12))</f>
        <v>0</v>
      </c>
      <c r="E291" s="20">
        <f>C291*BondCalculator!$B$5/12</f>
        <v>0</v>
      </c>
      <c r="F291" s="20">
        <f t="shared" si="36"/>
        <v>0</v>
      </c>
      <c r="G291" s="20">
        <f t="shared" si="42"/>
        <v>0</v>
      </c>
      <c r="H291" s="26">
        <f t="shared" si="43"/>
        <v>0</v>
      </c>
      <c r="J291" s="22">
        <f t="shared" si="37"/>
        <v>0</v>
      </c>
      <c r="K291" s="22">
        <f>IF(N290=0,0,IF(N290&lt;BondCalculator!$B$12+BondCalculator!$B$7,N290+L291,BondCalculator!$B$12+BondCalculator!$B$7))</f>
        <v>0</v>
      </c>
      <c r="L291" s="22">
        <f>J291*BondCalculator!$B$5/12</f>
        <v>0</v>
      </c>
      <c r="M291" s="22">
        <f t="shared" si="38"/>
        <v>0</v>
      </c>
      <c r="N291" s="22">
        <f t="shared" si="39"/>
        <v>0</v>
      </c>
      <c r="P291" s="22">
        <f t="shared" si="40"/>
        <v>0</v>
      </c>
      <c r="Q291" s="23">
        <f>-PV(BondCalculator!$B$9/12,B291,0,1,0)</f>
        <v>0.23777939303701462</v>
      </c>
      <c r="S291" s="24">
        <f t="shared" si="41"/>
        <v>0</v>
      </c>
    </row>
    <row r="292" spans="1:19" ht="16.05" customHeight="1" x14ac:dyDescent="0.25">
      <c r="A292" s="19" t="s">
        <v>123</v>
      </c>
      <c r="B292" s="35">
        <v>289</v>
      </c>
      <c r="C292" s="20">
        <f t="shared" si="44"/>
        <v>0</v>
      </c>
      <c r="D292" s="20">
        <f>IF(G291=0,0,IF(G291&lt;BondCalculator!$B$12,G291+E292,BondCalculator!$B$12))</f>
        <v>0</v>
      </c>
      <c r="E292" s="20">
        <f>C292*BondCalculator!$B$5/12</f>
        <v>0</v>
      </c>
      <c r="F292" s="20">
        <f t="shared" si="36"/>
        <v>0</v>
      </c>
      <c r="G292" s="20">
        <f t="shared" si="42"/>
        <v>0</v>
      </c>
      <c r="H292" s="26">
        <f t="shared" si="43"/>
        <v>0</v>
      </c>
      <c r="J292" s="22">
        <f t="shared" si="37"/>
        <v>0</v>
      </c>
      <c r="K292" s="22">
        <f>IF(N291=0,0,IF(N291&lt;BondCalculator!$B$12+BondCalculator!$B$7,N291+L292,BondCalculator!$B$12+BondCalculator!$B$7))</f>
        <v>0</v>
      </c>
      <c r="L292" s="22">
        <f>J292*BondCalculator!$B$5/12</f>
        <v>0</v>
      </c>
      <c r="M292" s="22">
        <f t="shared" si="38"/>
        <v>0</v>
      </c>
      <c r="N292" s="22">
        <f t="shared" si="39"/>
        <v>0</v>
      </c>
      <c r="P292" s="22">
        <f t="shared" si="40"/>
        <v>0</v>
      </c>
      <c r="Q292" s="23">
        <f>-PV(BondCalculator!$B$9/12,B292,0,1,0)</f>
        <v>0.2365964109821041</v>
      </c>
      <c r="S292" s="24">
        <f t="shared" si="41"/>
        <v>0</v>
      </c>
    </row>
    <row r="293" spans="1:19" ht="16.05" customHeight="1" x14ac:dyDescent="0.25">
      <c r="A293" s="19" t="s">
        <v>123</v>
      </c>
      <c r="B293" s="35">
        <v>290</v>
      </c>
      <c r="C293" s="20">
        <f t="shared" si="44"/>
        <v>0</v>
      </c>
      <c r="D293" s="20">
        <f>IF(G292=0,0,IF(G292&lt;BondCalculator!$B$12,G292+E293,BondCalculator!$B$12))</f>
        <v>0</v>
      </c>
      <c r="E293" s="20">
        <f>C293*BondCalculator!$B$5/12</f>
        <v>0</v>
      </c>
      <c r="F293" s="20">
        <f t="shared" si="36"/>
        <v>0</v>
      </c>
      <c r="G293" s="20">
        <f t="shared" si="42"/>
        <v>0</v>
      </c>
      <c r="H293" s="26">
        <f t="shared" si="43"/>
        <v>0</v>
      </c>
      <c r="J293" s="22">
        <f t="shared" si="37"/>
        <v>0</v>
      </c>
      <c r="K293" s="22">
        <f>IF(N292=0,0,IF(N292&lt;BondCalculator!$B$12+BondCalculator!$B$7,N292+L293,BondCalculator!$B$12+BondCalculator!$B$7))</f>
        <v>0</v>
      </c>
      <c r="L293" s="22">
        <f>J293*BondCalculator!$B$5/12</f>
        <v>0</v>
      </c>
      <c r="M293" s="22">
        <f t="shared" si="38"/>
        <v>0</v>
      </c>
      <c r="N293" s="22">
        <f t="shared" si="39"/>
        <v>0</v>
      </c>
      <c r="P293" s="22">
        <f t="shared" si="40"/>
        <v>0</v>
      </c>
      <c r="Q293" s="23">
        <f>-PV(BondCalculator!$B$9/12,B293,0,1,0)</f>
        <v>0.2354193144100539</v>
      </c>
      <c r="S293" s="24">
        <f t="shared" si="41"/>
        <v>0</v>
      </c>
    </row>
    <row r="294" spans="1:19" ht="16.05" customHeight="1" x14ac:dyDescent="0.25">
      <c r="A294" s="19" t="s">
        <v>123</v>
      </c>
      <c r="B294" s="35">
        <v>291</v>
      </c>
      <c r="C294" s="20">
        <f t="shared" si="44"/>
        <v>0</v>
      </c>
      <c r="D294" s="20">
        <f>IF(G293=0,0,IF(G293&lt;BondCalculator!$B$12,G293+E294,BondCalculator!$B$12))</f>
        <v>0</v>
      </c>
      <c r="E294" s="20">
        <f>C294*BondCalculator!$B$5/12</f>
        <v>0</v>
      </c>
      <c r="F294" s="20">
        <f t="shared" si="36"/>
        <v>0</v>
      </c>
      <c r="G294" s="20">
        <f t="shared" si="42"/>
        <v>0</v>
      </c>
      <c r="H294" s="26">
        <f t="shared" si="43"/>
        <v>0</v>
      </c>
      <c r="J294" s="22">
        <f t="shared" si="37"/>
        <v>0</v>
      </c>
      <c r="K294" s="22">
        <f>IF(N293=0,0,IF(N293&lt;BondCalculator!$B$12+BondCalculator!$B$7,N293+L294,BondCalculator!$B$12+BondCalculator!$B$7))</f>
        <v>0</v>
      </c>
      <c r="L294" s="22">
        <f>J294*BondCalculator!$B$5/12</f>
        <v>0</v>
      </c>
      <c r="M294" s="22">
        <f t="shared" si="38"/>
        <v>0</v>
      </c>
      <c r="N294" s="22">
        <f t="shared" si="39"/>
        <v>0</v>
      </c>
      <c r="P294" s="22">
        <f t="shared" si="40"/>
        <v>0</v>
      </c>
      <c r="Q294" s="23">
        <f>-PV(BondCalculator!$B$9/12,B294,0,1,0)</f>
        <v>0.23424807403985459</v>
      </c>
      <c r="S294" s="24">
        <f t="shared" si="41"/>
        <v>0</v>
      </c>
    </row>
    <row r="295" spans="1:19" ht="16.05" customHeight="1" x14ac:dyDescent="0.25">
      <c r="A295" s="19" t="s">
        <v>123</v>
      </c>
      <c r="B295" s="35">
        <v>292</v>
      </c>
      <c r="C295" s="20">
        <f t="shared" si="44"/>
        <v>0</v>
      </c>
      <c r="D295" s="20">
        <f>IF(G294=0,0,IF(G294&lt;BondCalculator!$B$12,G294+E295,BondCalculator!$B$12))</f>
        <v>0</v>
      </c>
      <c r="E295" s="20">
        <f>C295*BondCalculator!$B$5/12</f>
        <v>0</v>
      </c>
      <c r="F295" s="20">
        <f t="shared" si="36"/>
        <v>0</v>
      </c>
      <c r="G295" s="20">
        <f t="shared" si="42"/>
        <v>0</v>
      </c>
      <c r="H295" s="26">
        <f t="shared" si="43"/>
        <v>0</v>
      </c>
      <c r="J295" s="22">
        <f t="shared" si="37"/>
        <v>0</v>
      </c>
      <c r="K295" s="22">
        <f>IF(N294=0,0,IF(N294&lt;BondCalculator!$B$12+BondCalculator!$B$7,N294+L295,BondCalculator!$B$12+BondCalculator!$B$7))</f>
        <v>0</v>
      </c>
      <c r="L295" s="22">
        <f>J295*BondCalculator!$B$5/12</f>
        <v>0</v>
      </c>
      <c r="M295" s="22">
        <f t="shared" si="38"/>
        <v>0</v>
      </c>
      <c r="N295" s="22">
        <f t="shared" si="39"/>
        <v>0</v>
      </c>
      <c r="P295" s="22">
        <f t="shared" si="40"/>
        <v>0</v>
      </c>
      <c r="Q295" s="23">
        <f>-PV(BondCalculator!$B$9/12,B295,0,1,0)</f>
        <v>0.23308266073617381</v>
      </c>
      <c r="S295" s="24">
        <f t="shared" si="41"/>
        <v>0</v>
      </c>
    </row>
    <row r="296" spans="1:19" ht="16.05" customHeight="1" x14ac:dyDescent="0.25">
      <c r="A296" s="19" t="s">
        <v>123</v>
      </c>
      <c r="B296" s="35">
        <v>293</v>
      </c>
      <c r="C296" s="20">
        <f t="shared" si="44"/>
        <v>0</v>
      </c>
      <c r="D296" s="20">
        <f>IF(G295=0,0,IF(G295&lt;BondCalculator!$B$12,G295+E296,BondCalculator!$B$12))</f>
        <v>0</v>
      </c>
      <c r="E296" s="20">
        <f>C296*BondCalculator!$B$5/12</f>
        <v>0</v>
      </c>
      <c r="F296" s="20">
        <f t="shared" si="36"/>
        <v>0</v>
      </c>
      <c r="G296" s="20">
        <f t="shared" si="42"/>
        <v>0</v>
      </c>
      <c r="H296" s="26">
        <f t="shared" si="43"/>
        <v>0</v>
      </c>
      <c r="J296" s="22">
        <f t="shared" si="37"/>
        <v>0</v>
      </c>
      <c r="K296" s="22">
        <f>IF(N295=0,0,IF(N295&lt;BondCalculator!$B$12+BondCalculator!$B$7,N295+L296,BondCalculator!$B$12+BondCalculator!$B$7))</f>
        <v>0</v>
      </c>
      <c r="L296" s="22">
        <f>J296*BondCalculator!$B$5/12</f>
        <v>0</v>
      </c>
      <c r="M296" s="22">
        <f t="shared" si="38"/>
        <v>0</v>
      </c>
      <c r="N296" s="22">
        <f t="shared" si="39"/>
        <v>0</v>
      </c>
      <c r="P296" s="22">
        <f t="shared" si="40"/>
        <v>0</v>
      </c>
      <c r="Q296" s="23">
        <f>-PV(BondCalculator!$B$9/12,B296,0,1,0)</f>
        <v>0.23192304550863074</v>
      </c>
      <c r="S296" s="24">
        <f t="shared" si="41"/>
        <v>0</v>
      </c>
    </row>
    <row r="297" spans="1:19" ht="16.05" customHeight="1" x14ac:dyDescent="0.25">
      <c r="A297" s="19" t="s">
        <v>123</v>
      </c>
      <c r="B297" s="35">
        <v>294</v>
      </c>
      <c r="C297" s="20">
        <f t="shared" si="44"/>
        <v>0</v>
      </c>
      <c r="D297" s="20">
        <f>IF(G296=0,0,IF(G296&lt;BondCalculator!$B$12,G296+E297,BondCalculator!$B$12))</f>
        <v>0</v>
      </c>
      <c r="E297" s="20">
        <f>C297*BondCalculator!$B$5/12</f>
        <v>0</v>
      </c>
      <c r="F297" s="20">
        <f t="shared" si="36"/>
        <v>0</v>
      </c>
      <c r="G297" s="20">
        <f t="shared" si="42"/>
        <v>0</v>
      </c>
      <c r="H297" s="26">
        <f t="shared" si="43"/>
        <v>0</v>
      </c>
      <c r="J297" s="22">
        <f t="shared" si="37"/>
        <v>0</v>
      </c>
      <c r="K297" s="22">
        <f>IF(N296=0,0,IF(N296&lt;BondCalculator!$B$12+BondCalculator!$B$7,N296+L297,BondCalculator!$B$12+BondCalculator!$B$7))</f>
        <v>0</v>
      </c>
      <c r="L297" s="22">
        <f>J297*BondCalculator!$B$5/12</f>
        <v>0</v>
      </c>
      <c r="M297" s="22">
        <f t="shared" si="38"/>
        <v>0</v>
      </c>
      <c r="N297" s="22">
        <f t="shared" si="39"/>
        <v>0</v>
      </c>
      <c r="P297" s="22">
        <f t="shared" si="40"/>
        <v>0</v>
      </c>
      <c r="Q297" s="23">
        <f>-PV(BondCalculator!$B$9/12,B297,0,1,0)</f>
        <v>0.23076919951107536</v>
      </c>
      <c r="S297" s="24">
        <f t="shared" si="41"/>
        <v>0</v>
      </c>
    </row>
    <row r="298" spans="1:19" ht="16.05" customHeight="1" x14ac:dyDescent="0.25">
      <c r="A298" s="19" t="s">
        <v>123</v>
      </c>
      <c r="B298" s="35">
        <v>295</v>
      </c>
      <c r="C298" s="20">
        <f t="shared" si="44"/>
        <v>0</v>
      </c>
      <c r="D298" s="20">
        <f>IF(G297=0,0,IF(G297&lt;BondCalculator!$B$12,G297+E298,BondCalculator!$B$12))</f>
        <v>0</v>
      </c>
      <c r="E298" s="20">
        <f>C298*BondCalculator!$B$5/12</f>
        <v>0</v>
      </c>
      <c r="F298" s="20">
        <f t="shared" si="36"/>
        <v>0</v>
      </c>
      <c r="G298" s="20">
        <f t="shared" si="42"/>
        <v>0</v>
      </c>
      <c r="H298" s="26">
        <f t="shared" si="43"/>
        <v>0</v>
      </c>
      <c r="J298" s="22">
        <f t="shared" si="37"/>
        <v>0</v>
      </c>
      <c r="K298" s="22">
        <f>IF(N297=0,0,IF(N297&lt;BondCalculator!$B$12+BondCalculator!$B$7,N297+L298,BondCalculator!$B$12+BondCalculator!$B$7))</f>
        <v>0</v>
      </c>
      <c r="L298" s="22">
        <f>J298*BondCalculator!$B$5/12</f>
        <v>0</v>
      </c>
      <c r="M298" s="22">
        <f t="shared" si="38"/>
        <v>0</v>
      </c>
      <c r="N298" s="22">
        <f t="shared" si="39"/>
        <v>0</v>
      </c>
      <c r="P298" s="22">
        <f t="shared" si="40"/>
        <v>0</v>
      </c>
      <c r="Q298" s="23">
        <f>-PV(BondCalculator!$B$9/12,B298,0,1,0)</f>
        <v>0.22962109404087103</v>
      </c>
      <c r="S298" s="24">
        <f t="shared" si="41"/>
        <v>0</v>
      </c>
    </row>
    <row r="299" spans="1:19" ht="16.05" customHeight="1" x14ac:dyDescent="0.25">
      <c r="A299" s="19" t="s">
        <v>123</v>
      </c>
      <c r="B299" s="35">
        <v>296</v>
      </c>
      <c r="C299" s="20">
        <f t="shared" si="44"/>
        <v>0</v>
      </c>
      <c r="D299" s="20">
        <f>IF(G298=0,0,IF(G298&lt;BondCalculator!$B$12,G298+E299,BondCalculator!$B$12))</f>
        <v>0</v>
      </c>
      <c r="E299" s="20">
        <f>C299*BondCalculator!$B$5/12</f>
        <v>0</v>
      </c>
      <c r="F299" s="20">
        <f t="shared" si="36"/>
        <v>0</v>
      </c>
      <c r="G299" s="20">
        <f t="shared" si="42"/>
        <v>0</v>
      </c>
      <c r="H299" s="26">
        <f t="shared" si="43"/>
        <v>0</v>
      </c>
      <c r="J299" s="22">
        <f t="shared" si="37"/>
        <v>0</v>
      </c>
      <c r="K299" s="22">
        <f>IF(N298=0,0,IF(N298&lt;BondCalculator!$B$12+BondCalculator!$B$7,N298+L299,BondCalculator!$B$12+BondCalculator!$B$7))</f>
        <v>0</v>
      </c>
      <c r="L299" s="22">
        <f>J299*BondCalculator!$B$5/12</f>
        <v>0</v>
      </c>
      <c r="M299" s="22">
        <f t="shared" si="38"/>
        <v>0</v>
      </c>
      <c r="N299" s="22">
        <f t="shared" si="39"/>
        <v>0</v>
      </c>
      <c r="P299" s="22">
        <f t="shared" si="40"/>
        <v>0</v>
      </c>
      <c r="Q299" s="23">
        <f>-PV(BondCalculator!$B$9/12,B299,0,1,0)</f>
        <v>0.22847870053818015</v>
      </c>
      <c r="S299" s="24">
        <f t="shared" si="41"/>
        <v>0</v>
      </c>
    </row>
    <row r="300" spans="1:19" ht="16.05" customHeight="1" x14ac:dyDescent="0.25">
      <c r="A300" s="19" t="s">
        <v>123</v>
      </c>
      <c r="B300" s="35">
        <v>297</v>
      </c>
      <c r="C300" s="20">
        <f t="shared" si="44"/>
        <v>0</v>
      </c>
      <c r="D300" s="20">
        <f>IF(G299=0,0,IF(G299&lt;BondCalculator!$B$12,G299+E300,BondCalculator!$B$12))</f>
        <v>0</v>
      </c>
      <c r="E300" s="20">
        <f>C300*BondCalculator!$B$5/12</f>
        <v>0</v>
      </c>
      <c r="F300" s="20">
        <f t="shared" si="36"/>
        <v>0</v>
      </c>
      <c r="G300" s="20">
        <f t="shared" si="42"/>
        <v>0</v>
      </c>
      <c r="H300" s="26">
        <f t="shared" si="43"/>
        <v>0</v>
      </c>
      <c r="J300" s="22">
        <f t="shared" si="37"/>
        <v>0</v>
      </c>
      <c r="K300" s="22">
        <f>IF(N299=0,0,IF(N299&lt;BondCalculator!$B$12+BondCalculator!$B$7,N299+L300,BondCalculator!$B$12+BondCalculator!$B$7))</f>
        <v>0</v>
      </c>
      <c r="L300" s="22">
        <f>J300*BondCalculator!$B$5/12</f>
        <v>0</v>
      </c>
      <c r="M300" s="22">
        <f t="shared" si="38"/>
        <v>0</v>
      </c>
      <c r="N300" s="22">
        <f t="shared" si="39"/>
        <v>0</v>
      </c>
      <c r="P300" s="22">
        <f t="shared" si="40"/>
        <v>0</v>
      </c>
      <c r="Q300" s="23">
        <f>-PV(BondCalculator!$B$9/12,B300,0,1,0)</f>
        <v>0.22734199058525389</v>
      </c>
      <c r="S300" s="24">
        <f t="shared" si="41"/>
        <v>0</v>
      </c>
    </row>
    <row r="301" spans="1:19" ht="16.05" customHeight="1" x14ac:dyDescent="0.25">
      <c r="A301" s="19" t="s">
        <v>123</v>
      </c>
      <c r="B301" s="35">
        <v>298</v>
      </c>
      <c r="C301" s="20">
        <f t="shared" si="44"/>
        <v>0</v>
      </c>
      <c r="D301" s="20">
        <f>IF(G300=0,0,IF(G300&lt;BondCalculator!$B$12,G300+E301,BondCalculator!$B$12))</f>
        <v>0</v>
      </c>
      <c r="E301" s="20">
        <f>C301*BondCalculator!$B$5/12</f>
        <v>0</v>
      </c>
      <c r="F301" s="20">
        <f t="shared" si="36"/>
        <v>0</v>
      </c>
      <c r="G301" s="20">
        <f t="shared" si="42"/>
        <v>0</v>
      </c>
      <c r="H301" s="26">
        <f t="shared" si="43"/>
        <v>0</v>
      </c>
      <c r="J301" s="22">
        <f t="shared" si="37"/>
        <v>0</v>
      </c>
      <c r="K301" s="22">
        <f>IF(N300=0,0,IF(N300&lt;BondCalculator!$B$12+BondCalculator!$B$7,N300+L301,BondCalculator!$B$12+BondCalculator!$B$7))</f>
        <v>0</v>
      </c>
      <c r="L301" s="22">
        <f>J301*BondCalculator!$B$5/12</f>
        <v>0</v>
      </c>
      <c r="M301" s="22">
        <f t="shared" si="38"/>
        <v>0</v>
      </c>
      <c r="N301" s="22">
        <f t="shared" si="39"/>
        <v>0</v>
      </c>
      <c r="P301" s="22">
        <f t="shared" si="40"/>
        <v>0</v>
      </c>
      <c r="Q301" s="23">
        <f>-PV(BondCalculator!$B$9/12,B301,0,1,0)</f>
        <v>0.22621093590572533</v>
      </c>
      <c r="S301" s="24">
        <f t="shared" si="41"/>
        <v>0</v>
      </c>
    </row>
    <row r="302" spans="1:19" ht="16.05" customHeight="1" x14ac:dyDescent="0.25">
      <c r="A302" s="19" t="s">
        <v>123</v>
      </c>
      <c r="B302" s="35">
        <v>299</v>
      </c>
      <c r="C302" s="20">
        <f t="shared" si="44"/>
        <v>0</v>
      </c>
      <c r="D302" s="20">
        <f>IF(G301=0,0,IF(G301&lt;BondCalculator!$B$12,G301+E302,BondCalculator!$B$12))</f>
        <v>0</v>
      </c>
      <c r="E302" s="20">
        <f>C302*BondCalculator!$B$5/12</f>
        <v>0</v>
      </c>
      <c r="F302" s="20">
        <f t="shared" si="36"/>
        <v>0</v>
      </c>
      <c r="G302" s="20">
        <f t="shared" si="42"/>
        <v>0</v>
      </c>
      <c r="H302" s="26">
        <f t="shared" si="43"/>
        <v>0</v>
      </c>
      <c r="J302" s="22">
        <f t="shared" si="37"/>
        <v>0</v>
      </c>
      <c r="K302" s="22">
        <f>IF(N301=0,0,IF(N301&lt;BondCalculator!$B$12+BondCalculator!$B$7,N301+L302,BondCalculator!$B$12+BondCalculator!$B$7))</f>
        <v>0</v>
      </c>
      <c r="L302" s="22">
        <f>J302*BondCalculator!$B$5/12</f>
        <v>0</v>
      </c>
      <c r="M302" s="22">
        <f t="shared" si="38"/>
        <v>0</v>
      </c>
      <c r="N302" s="22">
        <f t="shared" si="39"/>
        <v>0</v>
      </c>
      <c r="P302" s="22">
        <f t="shared" si="40"/>
        <v>0</v>
      </c>
      <c r="Q302" s="23">
        <f>-PV(BondCalculator!$B$9/12,B302,0,1,0)</f>
        <v>0.22508550836390581</v>
      </c>
      <c r="S302" s="24">
        <f t="shared" si="41"/>
        <v>0</v>
      </c>
    </row>
    <row r="303" spans="1:19" ht="16.05" customHeight="1" x14ac:dyDescent="0.25">
      <c r="A303" s="19" t="s">
        <v>123</v>
      </c>
      <c r="B303" s="35">
        <v>300</v>
      </c>
      <c r="C303" s="20">
        <f t="shared" si="44"/>
        <v>0</v>
      </c>
      <c r="D303" s="20">
        <f>IF(G302=0,0,IF(G302&lt;BondCalculator!$B$12,G302+E303,BondCalculator!$B$12))</f>
        <v>0</v>
      </c>
      <c r="E303" s="20">
        <f>C303*BondCalculator!$B$5/12</f>
        <v>0</v>
      </c>
      <c r="F303" s="20">
        <f t="shared" si="36"/>
        <v>0</v>
      </c>
      <c r="G303" s="20">
        <f t="shared" si="42"/>
        <v>0</v>
      </c>
      <c r="H303" s="26">
        <f t="shared" si="43"/>
        <v>0</v>
      </c>
      <c r="J303" s="22">
        <f t="shared" si="37"/>
        <v>0</v>
      </c>
      <c r="K303" s="22">
        <f>IF(N302=0,0,IF(N302&lt;BondCalculator!$B$12+BondCalculator!$B$7,N302+L303,BondCalculator!$B$12+BondCalculator!$B$7))</f>
        <v>0</v>
      </c>
      <c r="L303" s="22">
        <f>J303*BondCalculator!$B$5/12</f>
        <v>0</v>
      </c>
      <c r="M303" s="22">
        <f t="shared" si="38"/>
        <v>0</v>
      </c>
      <c r="N303" s="22">
        <f t="shared" si="39"/>
        <v>0</v>
      </c>
      <c r="P303" s="22">
        <f t="shared" si="40"/>
        <v>0</v>
      </c>
      <c r="Q303" s="23">
        <f>-PV(BondCalculator!$B$9/12,B303,0,1,0)</f>
        <v>0.22396567996408542</v>
      </c>
      <c r="S303" s="24">
        <f t="shared" si="41"/>
        <v>0</v>
      </c>
    </row>
    <row r="304" spans="1:19" ht="16.05" customHeight="1" x14ac:dyDescent="0.25">
      <c r="A304" s="19" t="s">
        <v>124</v>
      </c>
      <c r="B304" s="35">
        <v>301</v>
      </c>
      <c r="C304" s="20">
        <f t="shared" si="44"/>
        <v>0</v>
      </c>
      <c r="D304" s="20">
        <f>IF(G303=0,0,IF(G303&lt;BondCalculator!$B$12,G303+E304,BondCalculator!$B$12))</f>
        <v>0</v>
      </c>
      <c r="E304" s="20">
        <f>C304*BondCalculator!$B$5/12</f>
        <v>0</v>
      </c>
      <c r="F304" s="20">
        <f t="shared" si="36"/>
        <v>0</v>
      </c>
      <c r="G304" s="20">
        <f t="shared" si="42"/>
        <v>0</v>
      </c>
      <c r="H304" s="26">
        <f t="shared" si="43"/>
        <v>0</v>
      </c>
      <c r="J304" s="22">
        <f t="shared" si="37"/>
        <v>0</v>
      </c>
      <c r="K304" s="22">
        <f>IF(N303=0,0,IF(N303&lt;BondCalculator!$B$12+BondCalculator!$B$7,N303+L304,BondCalculator!$B$12+BondCalculator!$B$7))</f>
        <v>0</v>
      </c>
      <c r="L304" s="22">
        <f>J304*BondCalculator!$B$5/12</f>
        <v>0</v>
      </c>
      <c r="M304" s="22">
        <f t="shared" si="38"/>
        <v>0</v>
      </c>
      <c r="N304" s="22">
        <f t="shared" si="39"/>
        <v>0</v>
      </c>
      <c r="P304" s="22">
        <f t="shared" si="40"/>
        <v>0</v>
      </c>
      <c r="Q304" s="23">
        <f>-PV(BondCalculator!$B$9/12,B304,0,1,0)</f>
        <v>0.22285142284983631</v>
      </c>
      <c r="S304" s="24">
        <f t="shared" si="41"/>
        <v>0</v>
      </c>
    </row>
    <row r="305" spans="1:19" ht="16.05" customHeight="1" x14ac:dyDescent="0.25">
      <c r="A305" s="19" t="s">
        <v>124</v>
      </c>
      <c r="B305" s="35">
        <v>302</v>
      </c>
      <c r="C305" s="20">
        <f t="shared" si="44"/>
        <v>0</v>
      </c>
      <c r="D305" s="20">
        <f>IF(G304=0,0,IF(G304&lt;BondCalculator!$B$12,G304+E305,BondCalculator!$B$12))</f>
        <v>0</v>
      </c>
      <c r="E305" s="20">
        <f>C305*BondCalculator!$B$5/12</f>
        <v>0</v>
      </c>
      <c r="F305" s="20">
        <f t="shared" si="36"/>
        <v>0</v>
      </c>
      <c r="G305" s="20">
        <f t="shared" si="42"/>
        <v>0</v>
      </c>
      <c r="H305" s="26">
        <f t="shared" si="43"/>
        <v>0</v>
      </c>
      <c r="J305" s="22">
        <f t="shared" si="37"/>
        <v>0</v>
      </c>
      <c r="K305" s="22">
        <f>IF(N304=0,0,IF(N304&lt;BondCalculator!$B$12+BondCalculator!$B$7,N304+L305,BondCalculator!$B$12+BondCalculator!$B$7))</f>
        <v>0</v>
      </c>
      <c r="L305" s="22">
        <f>J305*BondCalculator!$B$5/12</f>
        <v>0</v>
      </c>
      <c r="M305" s="22">
        <f t="shared" si="38"/>
        <v>0</v>
      </c>
      <c r="N305" s="22">
        <f t="shared" si="39"/>
        <v>0</v>
      </c>
      <c r="P305" s="22">
        <f t="shared" si="40"/>
        <v>0</v>
      </c>
      <c r="Q305" s="23">
        <f>-PV(BondCalculator!$B$9/12,B305,0,1,0)</f>
        <v>0.22174270930331974</v>
      </c>
      <c r="S305" s="24">
        <f t="shared" si="41"/>
        <v>0</v>
      </c>
    </row>
    <row r="306" spans="1:19" ht="16.05" customHeight="1" x14ac:dyDescent="0.25">
      <c r="A306" s="19" t="s">
        <v>124</v>
      </c>
      <c r="B306" s="35">
        <v>303</v>
      </c>
      <c r="C306" s="20">
        <f t="shared" si="44"/>
        <v>0</v>
      </c>
      <c r="D306" s="20">
        <f>IF(G305=0,0,IF(G305&lt;BondCalculator!$B$12,G305+E306,BondCalculator!$B$12))</f>
        <v>0</v>
      </c>
      <c r="E306" s="20">
        <f>C306*BondCalculator!$B$5/12</f>
        <v>0</v>
      </c>
      <c r="F306" s="20">
        <f t="shared" si="36"/>
        <v>0</v>
      </c>
      <c r="G306" s="20">
        <f t="shared" si="42"/>
        <v>0</v>
      </c>
      <c r="H306" s="26">
        <f t="shared" si="43"/>
        <v>0</v>
      </c>
      <c r="J306" s="22">
        <f t="shared" si="37"/>
        <v>0</v>
      </c>
      <c r="K306" s="22">
        <f>IF(N305=0,0,IF(N305&lt;BondCalculator!$B$12+BondCalculator!$B$7,N305+L306,BondCalculator!$B$12+BondCalculator!$B$7))</f>
        <v>0</v>
      </c>
      <c r="L306" s="22">
        <f>J306*BondCalculator!$B$5/12</f>
        <v>0</v>
      </c>
      <c r="M306" s="22">
        <f t="shared" si="38"/>
        <v>0</v>
      </c>
      <c r="N306" s="22">
        <f t="shared" si="39"/>
        <v>0</v>
      </c>
      <c r="P306" s="22">
        <f t="shared" si="40"/>
        <v>0</v>
      </c>
      <c r="Q306" s="23">
        <f>-PV(BondCalculator!$B$9/12,B306,0,1,0)</f>
        <v>0.22063951174459681</v>
      </c>
      <c r="S306" s="24">
        <f t="shared" si="41"/>
        <v>0</v>
      </c>
    </row>
    <row r="307" spans="1:19" ht="16.05" customHeight="1" x14ac:dyDescent="0.25">
      <c r="A307" s="19" t="s">
        <v>124</v>
      </c>
      <c r="B307" s="35">
        <v>304</v>
      </c>
      <c r="C307" s="20">
        <f t="shared" si="44"/>
        <v>0</v>
      </c>
      <c r="D307" s="20">
        <f>IF(G306=0,0,IF(G306&lt;BondCalculator!$B$12,G306+E307,BondCalculator!$B$12))</f>
        <v>0</v>
      </c>
      <c r="E307" s="20">
        <f>C307*BondCalculator!$B$5/12</f>
        <v>0</v>
      </c>
      <c r="F307" s="20">
        <f t="shared" si="36"/>
        <v>0</v>
      </c>
      <c r="G307" s="20">
        <f t="shared" si="42"/>
        <v>0</v>
      </c>
      <c r="H307" s="26">
        <f t="shared" si="43"/>
        <v>0</v>
      </c>
      <c r="J307" s="22">
        <f t="shared" si="37"/>
        <v>0</v>
      </c>
      <c r="K307" s="22">
        <f>IF(N306=0,0,IF(N306&lt;BondCalculator!$B$12+BondCalculator!$B$7,N306+L307,BondCalculator!$B$12+BondCalculator!$B$7))</f>
        <v>0</v>
      </c>
      <c r="L307" s="22">
        <f>J307*BondCalculator!$B$5/12</f>
        <v>0</v>
      </c>
      <c r="M307" s="22">
        <f t="shared" si="38"/>
        <v>0</v>
      </c>
      <c r="N307" s="22">
        <f t="shared" si="39"/>
        <v>0</v>
      </c>
      <c r="P307" s="22">
        <f t="shared" si="40"/>
        <v>0</v>
      </c>
      <c r="Q307" s="23">
        <f>-PV(BondCalculator!$B$9/12,B307,0,1,0)</f>
        <v>0.21954180273094215</v>
      </c>
      <c r="S307" s="24">
        <f t="shared" si="41"/>
        <v>0</v>
      </c>
    </row>
    <row r="308" spans="1:19" ht="16.05" customHeight="1" x14ac:dyDescent="0.25">
      <c r="A308" s="19" t="s">
        <v>124</v>
      </c>
      <c r="B308" s="35">
        <v>305</v>
      </c>
      <c r="C308" s="20">
        <f t="shared" si="44"/>
        <v>0</v>
      </c>
      <c r="D308" s="20">
        <f>IF(G307=0,0,IF(G307&lt;BondCalculator!$B$12,G307+E308,BondCalculator!$B$12))</f>
        <v>0</v>
      </c>
      <c r="E308" s="20">
        <f>C308*BondCalculator!$B$5/12</f>
        <v>0</v>
      </c>
      <c r="F308" s="20">
        <f t="shared" ref="F308:F363" si="45">D308-E308</f>
        <v>0</v>
      </c>
      <c r="G308" s="20">
        <f t="shared" si="42"/>
        <v>0</v>
      </c>
      <c r="H308" s="26">
        <f t="shared" si="43"/>
        <v>0</v>
      </c>
      <c r="J308" s="22">
        <f t="shared" ref="J308:J363" si="46">IF(ROUND(N307,0)&gt;0,N307,0)</f>
        <v>0</v>
      </c>
      <c r="K308" s="22">
        <f>IF(N307=0,0,IF(N307&lt;BondCalculator!$B$12+BondCalculator!$B$7,N307+L308,BondCalculator!$B$12+BondCalculator!$B$7))</f>
        <v>0</v>
      </c>
      <c r="L308" s="22">
        <f>J308*BondCalculator!$B$5/12</f>
        <v>0</v>
      </c>
      <c r="M308" s="22">
        <f t="shared" ref="M308:M363" si="47">IF(K308-L308&gt;N307,N307,K308-L308)</f>
        <v>0</v>
      </c>
      <c r="N308" s="22">
        <f t="shared" ref="N308:N363" si="48">J308-M308</f>
        <v>0</v>
      </c>
      <c r="P308" s="22">
        <f t="shared" ref="P308:P363" si="49">E308-L308</f>
        <v>0</v>
      </c>
      <c r="Q308" s="23">
        <f>-PV(BondCalculator!$B$9/12,B308,0,1,0)</f>
        <v>0.21844955495616133</v>
      </c>
      <c r="S308" s="24">
        <f t="shared" si="41"/>
        <v>0</v>
      </c>
    </row>
    <row r="309" spans="1:19" ht="16.05" customHeight="1" x14ac:dyDescent="0.25">
      <c r="A309" s="19" t="s">
        <v>124</v>
      </c>
      <c r="B309" s="35">
        <v>306</v>
      </c>
      <c r="C309" s="20">
        <f t="shared" si="44"/>
        <v>0</v>
      </c>
      <c r="D309" s="20">
        <f>IF(G308=0,0,IF(G308&lt;BondCalculator!$B$12,G308+E309,BondCalculator!$B$12))</f>
        <v>0</v>
      </c>
      <c r="E309" s="20">
        <f>C309*BondCalculator!$B$5/12</f>
        <v>0</v>
      </c>
      <c r="F309" s="20">
        <f t="shared" si="45"/>
        <v>0</v>
      </c>
      <c r="G309" s="20">
        <f t="shared" si="42"/>
        <v>0</v>
      </c>
      <c r="H309" s="26">
        <f t="shared" si="43"/>
        <v>0</v>
      </c>
      <c r="J309" s="22">
        <f t="shared" si="46"/>
        <v>0</v>
      </c>
      <c r="K309" s="22">
        <f>IF(N308=0,0,IF(N308&lt;BondCalculator!$B$12+BondCalculator!$B$7,N308+L309,BondCalculator!$B$12+BondCalculator!$B$7))</f>
        <v>0</v>
      </c>
      <c r="L309" s="22">
        <f>J309*BondCalculator!$B$5/12</f>
        <v>0</v>
      </c>
      <c r="M309" s="22">
        <f t="shared" si="47"/>
        <v>0</v>
      </c>
      <c r="N309" s="22">
        <f t="shared" si="48"/>
        <v>0</v>
      </c>
      <c r="P309" s="22">
        <f t="shared" si="49"/>
        <v>0</v>
      </c>
      <c r="Q309" s="23">
        <f>-PV(BondCalculator!$B$9/12,B309,0,1,0)</f>
        <v>0.21736274124991184</v>
      </c>
      <c r="S309" s="24">
        <f t="shared" si="41"/>
        <v>0</v>
      </c>
    </row>
    <row r="310" spans="1:19" ht="16.05" customHeight="1" x14ac:dyDescent="0.25">
      <c r="A310" s="19" t="s">
        <v>124</v>
      </c>
      <c r="B310" s="35">
        <v>307</v>
      </c>
      <c r="C310" s="20">
        <f t="shared" si="44"/>
        <v>0</v>
      </c>
      <c r="D310" s="20">
        <f>IF(G309=0,0,IF(G309&lt;BondCalculator!$B$12,G309+E310,BondCalculator!$B$12))</f>
        <v>0</v>
      </c>
      <c r="E310" s="20">
        <f>C310*BondCalculator!$B$5/12</f>
        <v>0</v>
      </c>
      <c r="F310" s="20">
        <f t="shared" si="45"/>
        <v>0</v>
      </c>
      <c r="G310" s="20">
        <f t="shared" si="42"/>
        <v>0</v>
      </c>
      <c r="H310" s="26">
        <f t="shared" si="43"/>
        <v>0</v>
      </c>
      <c r="J310" s="22">
        <f t="shared" si="46"/>
        <v>0</v>
      </c>
      <c r="K310" s="22">
        <f>IF(N309=0,0,IF(N309&lt;BondCalculator!$B$12+BondCalculator!$B$7,N309+L310,BondCalculator!$B$12+BondCalculator!$B$7))</f>
        <v>0</v>
      </c>
      <c r="L310" s="22">
        <f>J310*BondCalculator!$B$5/12</f>
        <v>0</v>
      </c>
      <c r="M310" s="22">
        <f t="shared" si="47"/>
        <v>0</v>
      </c>
      <c r="N310" s="22">
        <f t="shared" si="48"/>
        <v>0</v>
      </c>
      <c r="P310" s="22">
        <f t="shared" si="49"/>
        <v>0</v>
      </c>
      <c r="Q310" s="23">
        <f>-PV(BondCalculator!$B$9/12,B310,0,1,0)</f>
        <v>0.2162813345770267</v>
      </c>
      <c r="S310" s="24">
        <f t="shared" si="41"/>
        <v>0</v>
      </c>
    </row>
    <row r="311" spans="1:19" ht="16.05" customHeight="1" x14ac:dyDescent="0.25">
      <c r="A311" s="19" t="s">
        <v>124</v>
      </c>
      <c r="B311" s="35">
        <v>308</v>
      </c>
      <c r="C311" s="20">
        <f t="shared" si="44"/>
        <v>0</v>
      </c>
      <c r="D311" s="20">
        <f>IF(G310=0,0,IF(G310&lt;BondCalculator!$B$12,G310+E311,BondCalculator!$B$12))</f>
        <v>0</v>
      </c>
      <c r="E311" s="20">
        <f>C311*BondCalculator!$B$5/12</f>
        <v>0</v>
      </c>
      <c r="F311" s="20">
        <f t="shared" si="45"/>
        <v>0</v>
      </c>
      <c r="G311" s="20">
        <f t="shared" si="42"/>
        <v>0</v>
      </c>
      <c r="H311" s="26">
        <f t="shared" si="43"/>
        <v>0</v>
      </c>
      <c r="J311" s="22">
        <f t="shared" si="46"/>
        <v>0</v>
      </c>
      <c r="K311" s="22">
        <f>IF(N310=0,0,IF(N310&lt;BondCalculator!$B$12+BondCalculator!$B$7,N310+L311,BondCalculator!$B$12+BondCalculator!$B$7))</f>
        <v>0</v>
      </c>
      <c r="L311" s="22">
        <f>J311*BondCalculator!$B$5/12</f>
        <v>0</v>
      </c>
      <c r="M311" s="22">
        <f t="shared" si="47"/>
        <v>0</v>
      </c>
      <c r="N311" s="22">
        <f t="shared" si="48"/>
        <v>0</v>
      </c>
      <c r="P311" s="22">
        <f t="shared" si="49"/>
        <v>0</v>
      </c>
      <c r="Q311" s="23">
        <f>-PV(BondCalculator!$B$9/12,B311,0,1,0)</f>
        <v>0.21520530803684254</v>
      </c>
      <c r="S311" s="24">
        <f t="shared" si="41"/>
        <v>0</v>
      </c>
    </row>
    <row r="312" spans="1:19" ht="16.05" customHeight="1" x14ac:dyDescent="0.25">
      <c r="A312" s="19" t="s">
        <v>124</v>
      </c>
      <c r="B312" s="35">
        <v>309</v>
      </c>
      <c r="C312" s="20">
        <f t="shared" si="44"/>
        <v>0</v>
      </c>
      <c r="D312" s="20">
        <f>IF(G311=0,0,IF(G311&lt;BondCalculator!$B$12,G311+E312,BondCalculator!$B$12))</f>
        <v>0</v>
      </c>
      <c r="E312" s="20">
        <f>C312*BondCalculator!$B$5/12</f>
        <v>0</v>
      </c>
      <c r="F312" s="20">
        <f t="shared" si="45"/>
        <v>0</v>
      </c>
      <c r="G312" s="20">
        <f t="shared" si="42"/>
        <v>0</v>
      </c>
      <c r="H312" s="26">
        <f t="shared" si="43"/>
        <v>0</v>
      </c>
      <c r="J312" s="22">
        <f t="shared" si="46"/>
        <v>0</v>
      </c>
      <c r="K312" s="22">
        <f>IF(N311=0,0,IF(N311&lt;BondCalculator!$B$12+BondCalculator!$B$7,N311+L312,BondCalculator!$B$12+BondCalculator!$B$7))</f>
        <v>0</v>
      </c>
      <c r="L312" s="22">
        <f>J312*BondCalculator!$B$5/12</f>
        <v>0</v>
      </c>
      <c r="M312" s="22">
        <f t="shared" si="47"/>
        <v>0</v>
      </c>
      <c r="N312" s="22">
        <f t="shared" si="48"/>
        <v>0</v>
      </c>
      <c r="P312" s="22">
        <f t="shared" si="49"/>
        <v>0</v>
      </c>
      <c r="Q312" s="23">
        <f>-PV(BondCalculator!$B$9/12,B312,0,1,0)</f>
        <v>0.21413463486252993</v>
      </c>
      <c r="S312" s="24">
        <f t="shared" si="41"/>
        <v>0</v>
      </c>
    </row>
    <row r="313" spans="1:19" ht="16.05" customHeight="1" x14ac:dyDescent="0.25">
      <c r="A313" s="19" t="s">
        <v>124</v>
      </c>
      <c r="B313" s="35">
        <v>310</v>
      </c>
      <c r="C313" s="20">
        <f t="shared" si="44"/>
        <v>0</v>
      </c>
      <c r="D313" s="20">
        <f>IF(G312=0,0,IF(G312&lt;BondCalculator!$B$12,G312+E313,BondCalculator!$B$12))</f>
        <v>0</v>
      </c>
      <c r="E313" s="20">
        <f>C313*BondCalculator!$B$5/12</f>
        <v>0</v>
      </c>
      <c r="F313" s="20">
        <f t="shared" si="45"/>
        <v>0</v>
      </c>
      <c r="G313" s="20">
        <f t="shared" si="42"/>
        <v>0</v>
      </c>
      <c r="H313" s="26">
        <f t="shared" si="43"/>
        <v>0</v>
      </c>
      <c r="J313" s="22">
        <f t="shared" si="46"/>
        <v>0</v>
      </c>
      <c r="K313" s="22">
        <f>IF(N312=0,0,IF(N312&lt;BondCalculator!$B$12+BondCalculator!$B$7,N312+L313,BondCalculator!$B$12+BondCalculator!$B$7))</f>
        <v>0</v>
      </c>
      <c r="L313" s="22">
        <f>J313*BondCalculator!$B$5/12</f>
        <v>0</v>
      </c>
      <c r="M313" s="22">
        <f t="shared" si="47"/>
        <v>0</v>
      </c>
      <c r="N313" s="22">
        <f t="shared" si="48"/>
        <v>0</v>
      </c>
      <c r="P313" s="22">
        <f t="shared" si="49"/>
        <v>0</v>
      </c>
      <c r="Q313" s="23">
        <f>-PV(BondCalculator!$B$9/12,B313,0,1,0)</f>
        <v>0.21306928842042783</v>
      </c>
      <c r="S313" s="24">
        <f t="shared" si="41"/>
        <v>0</v>
      </c>
    </row>
    <row r="314" spans="1:19" ht="16.05" customHeight="1" x14ac:dyDescent="0.25">
      <c r="A314" s="19" t="s">
        <v>124</v>
      </c>
      <c r="B314" s="35">
        <v>311</v>
      </c>
      <c r="C314" s="20">
        <f t="shared" si="44"/>
        <v>0</v>
      </c>
      <c r="D314" s="20">
        <f>IF(G313=0,0,IF(G313&lt;BondCalculator!$B$12,G313+E314,BondCalculator!$B$12))</f>
        <v>0</v>
      </c>
      <c r="E314" s="20">
        <f>C314*BondCalculator!$B$5/12</f>
        <v>0</v>
      </c>
      <c r="F314" s="20">
        <f t="shared" si="45"/>
        <v>0</v>
      </c>
      <c r="G314" s="20">
        <f t="shared" si="42"/>
        <v>0</v>
      </c>
      <c r="H314" s="26">
        <f t="shared" si="43"/>
        <v>0</v>
      </c>
      <c r="J314" s="22">
        <f t="shared" si="46"/>
        <v>0</v>
      </c>
      <c r="K314" s="22">
        <f>IF(N313=0,0,IF(N313&lt;BondCalculator!$B$12+BondCalculator!$B$7,N313+L314,BondCalculator!$B$12+BondCalculator!$B$7))</f>
        <v>0</v>
      </c>
      <c r="L314" s="22">
        <f>J314*BondCalculator!$B$5/12</f>
        <v>0</v>
      </c>
      <c r="M314" s="22">
        <f t="shared" si="47"/>
        <v>0</v>
      </c>
      <c r="N314" s="22">
        <f t="shared" si="48"/>
        <v>0</v>
      </c>
      <c r="P314" s="22">
        <f t="shared" si="49"/>
        <v>0</v>
      </c>
      <c r="Q314" s="23">
        <f>-PV(BondCalculator!$B$9/12,B314,0,1,0)</f>
        <v>0.21200924220938097</v>
      </c>
      <c r="S314" s="24">
        <f t="shared" si="41"/>
        <v>0</v>
      </c>
    </row>
    <row r="315" spans="1:19" ht="16.05" customHeight="1" x14ac:dyDescent="0.25">
      <c r="A315" s="19" t="s">
        <v>124</v>
      </c>
      <c r="B315" s="35">
        <v>312</v>
      </c>
      <c r="C315" s="20">
        <f t="shared" si="44"/>
        <v>0</v>
      </c>
      <c r="D315" s="20">
        <f>IF(G314=0,0,IF(G314&lt;BondCalculator!$B$12,G314+E315,BondCalculator!$B$12))</f>
        <v>0</v>
      </c>
      <c r="E315" s="20">
        <f>C315*BondCalculator!$B$5/12</f>
        <v>0</v>
      </c>
      <c r="F315" s="20">
        <f t="shared" si="45"/>
        <v>0</v>
      </c>
      <c r="G315" s="20">
        <f t="shared" si="42"/>
        <v>0</v>
      </c>
      <c r="H315" s="26">
        <f t="shared" si="43"/>
        <v>0</v>
      </c>
      <c r="J315" s="22">
        <f t="shared" si="46"/>
        <v>0</v>
      </c>
      <c r="K315" s="22">
        <f>IF(N314=0,0,IF(N314&lt;BondCalculator!$B$12+BondCalculator!$B$7,N314+L315,BondCalculator!$B$12+BondCalculator!$B$7))</f>
        <v>0</v>
      </c>
      <c r="L315" s="22">
        <f>J315*BondCalculator!$B$5/12</f>
        <v>0</v>
      </c>
      <c r="M315" s="22">
        <f t="shared" si="47"/>
        <v>0</v>
      </c>
      <c r="N315" s="22">
        <f t="shared" si="48"/>
        <v>0</v>
      </c>
      <c r="P315" s="22">
        <f t="shared" si="49"/>
        <v>0</v>
      </c>
      <c r="Q315" s="23">
        <f>-PV(BondCalculator!$B$9/12,B315,0,1,0)</f>
        <v>0.21095446986008054</v>
      </c>
      <c r="S315" s="24">
        <f t="shared" si="41"/>
        <v>0</v>
      </c>
    </row>
    <row r="316" spans="1:19" ht="16.05" customHeight="1" x14ac:dyDescent="0.25">
      <c r="A316" s="19" t="s">
        <v>125</v>
      </c>
      <c r="B316" s="35">
        <v>313</v>
      </c>
      <c r="C316" s="20">
        <f t="shared" si="44"/>
        <v>0</v>
      </c>
      <c r="D316" s="20">
        <f>IF(G315=0,0,IF(G315&lt;BondCalculator!$B$12,G315+E316,BondCalculator!$B$12))</f>
        <v>0</v>
      </c>
      <c r="E316" s="20">
        <f>C316*BondCalculator!$B$5/12</f>
        <v>0</v>
      </c>
      <c r="F316" s="20">
        <f t="shared" si="45"/>
        <v>0</v>
      </c>
      <c r="G316" s="20">
        <f t="shared" si="42"/>
        <v>0</v>
      </c>
      <c r="H316" s="26">
        <f t="shared" si="43"/>
        <v>0</v>
      </c>
      <c r="J316" s="22">
        <f t="shared" si="46"/>
        <v>0</v>
      </c>
      <c r="K316" s="22">
        <f>IF(N315=0,0,IF(N315&lt;BondCalculator!$B$12+BondCalculator!$B$7,N315+L316,BondCalculator!$B$12+BondCalculator!$B$7))</f>
        <v>0</v>
      </c>
      <c r="L316" s="22">
        <f>J316*BondCalculator!$B$5/12</f>
        <v>0</v>
      </c>
      <c r="M316" s="22">
        <f t="shared" si="47"/>
        <v>0</v>
      </c>
      <c r="N316" s="22">
        <f t="shared" si="48"/>
        <v>0</v>
      </c>
      <c r="P316" s="22">
        <f t="shared" si="49"/>
        <v>0</v>
      </c>
      <c r="Q316" s="23">
        <f>-PV(BondCalculator!$B$9/12,B316,0,1,0)</f>
        <v>0.20990494513440855</v>
      </c>
      <c r="S316" s="24">
        <f t="shared" si="41"/>
        <v>0</v>
      </c>
    </row>
    <row r="317" spans="1:19" ht="16.05" customHeight="1" x14ac:dyDescent="0.25">
      <c r="A317" s="19" t="s">
        <v>125</v>
      </c>
      <c r="B317" s="35">
        <v>314</v>
      </c>
      <c r="C317" s="20">
        <f t="shared" si="44"/>
        <v>0</v>
      </c>
      <c r="D317" s="20">
        <f>IF(G316=0,0,IF(G316&lt;BondCalculator!$B$12,G316+E317,BondCalculator!$B$12))</f>
        <v>0</v>
      </c>
      <c r="E317" s="20">
        <f>C317*BondCalculator!$B$5/12</f>
        <v>0</v>
      </c>
      <c r="F317" s="20">
        <f t="shared" si="45"/>
        <v>0</v>
      </c>
      <c r="G317" s="20">
        <f t="shared" si="42"/>
        <v>0</v>
      </c>
      <c r="H317" s="26">
        <f t="shared" si="43"/>
        <v>0</v>
      </c>
      <c r="J317" s="22">
        <f t="shared" si="46"/>
        <v>0</v>
      </c>
      <c r="K317" s="22">
        <f>IF(N316=0,0,IF(N316&lt;BondCalculator!$B$12+BondCalculator!$B$7,N316+L317,BondCalculator!$B$12+BondCalculator!$B$7))</f>
        <v>0</v>
      </c>
      <c r="L317" s="22">
        <f>J317*BondCalculator!$B$5/12</f>
        <v>0</v>
      </c>
      <c r="M317" s="22">
        <f t="shared" si="47"/>
        <v>0</v>
      </c>
      <c r="N317" s="22">
        <f t="shared" si="48"/>
        <v>0</v>
      </c>
      <c r="P317" s="22">
        <f t="shared" si="49"/>
        <v>0</v>
      </c>
      <c r="Q317" s="23">
        <f>-PV(BondCalculator!$B$9/12,B317,0,1,0)</f>
        <v>0.20886064192478465</v>
      </c>
      <c r="S317" s="24">
        <f t="shared" si="41"/>
        <v>0</v>
      </c>
    </row>
    <row r="318" spans="1:19" ht="16.05" customHeight="1" x14ac:dyDescent="0.25">
      <c r="A318" s="19" t="s">
        <v>125</v>
      </c>
      <c r="B318" s="35">
        <v>315</v>
      </c>
      <c r="C318" s="20">
        <f t="shared" si="44"/>
        <v>0</v>
      </c>
      <c r="D318" s="20">
        <f>IF(G317=0,0,IF(G317&lt;BondCalculator!$B$12,G317+E318,BondCalculator!$B$12))</f>
        <v>0</v>
      </c>
      <c r="E318" s="20">
        <f>C318*BondCalculator!$B$5/12</f>
        <v>0</v>
      </c>
      <c r="F318" s="20">
        <f t="shared" si="45"/>
        <v>0</v>
      </c>
      <c r="G318" s="20">
        <f t="shared" si="42"/>
        <v>0</v>
      </c>
      <c r="H318" s="26">
        <f t="shared" si="43"/>
        <v>0</v>
      </c>
      <c r="J318" s="22">
        <f t="shared" si="46"/>
        <v>0</v>
      </c>
      <c r="K318" s="22">
        <f>IF(N317=0,0,IF(N317&lt;BondCalculator!$B$12+BondCalculator!$B$7,N317+L318,BondCalculator!$B$12+BondCalculator!$B$7))</f>
        <v>0</v>
      </c>
      <c r="L318" s="22">
        <f>J318*BondCalculator!$B$5/12</f>
        <v>0</v>
      </c>
      <c r="M318" s="22">
        <f t="shared" si="47"/>
        <v>0</v>
      </c>
      <c r="N318" s="22">
        <f t="shared" si="48"/>
        <v>0</v>
      </c>
      <c r="P318" s="22">
        <f t="shared" si="49"/>
        <v>0</v>
      </c>
      <c r="Q318" s="23">
        <f>-PV(BondCalculator!$B$9/12,B318,0,1,0)</f>
        <v>0.2078215342535171</v>
      </c>
      <c r="S318" s="24">
        <f t="shared" si="41"/>
        <v>0</v>
      </c>
    </row>
    <row r="319" spans="1:19" ht="16.05" customHeight="1" x14ac:dyDescent="0.25">
      <c r="A319" s="19" t="s">
        <v>125</v>
      </c>
      <c r="B319" s="35">
        <v>316</v>
      </c>
      <c r="C319" s="20">
        <f t="shared" si="44"/>
        <v>0</v>
      </c>
      <c r="D319" s="20">
        <f>IF(G318=0,0,IF(G318&lt;BondCalculator!$B$12,G318+E319,BondCalculator!$B$12))</f>
        <v>0</v>
      </c>
      <c r="E319" s="20">
        <f>C319*BondCalculator!$B$5/12</f>
        <v>0</v>
      </c>
      <c r="F319" s="20">
        <f t="shared" si="45"/>
        <v>0</v>
      </c>
      <c r="G319" s="20">
        <f t="shared" si="42"/>
        <v>0</v>
      </c>
      <c r="H319" s="26">
        <f t="shared" si="43"/>
        <v>0</v>
      </c>
      <c r="J319" s="22">
        <f t="shared" si="46"/>
        <v>0</v>
      </c>
      <c r="K319" s="22">
        <f>IF(N318=0,0,IF(N318&lt;BondCalculator!$B$12+BondCalculator!$B$7,N318+L319,BondCalculator!$B$12+BondCalculator!$B$7))</f>
        <v>0</v>
      </c>
      <c r="L319" s="22">
        <f>J319*BondCalculator!$B$5/12</f>
        <v>0</v>
      </c>
      <c r="M319" s="22">
        <f t="shared" si="47"/>
        <v>0</v>
      </c>
      <c r="N319" s="22">
        <f t="shared" si="48"/>
        <v>0</v>
      </c>
      <c r="P319" s="22">
        <f t="shared" si="49"/>
        <v>0</v>
      </c>
      <c r="Q319" s="23">
        <f>-PV(BondCalculator!$B$9/12,B319,0,1,0)</f>
        <v>0.20678759627215637</v>
      </c>
      <c r="S319" s="24">
        <f t="shared" si="41"/>
        <v>0</v>
      </c>
    </row>
    <row r="320" spans="1:19" ht="16.05" customHeight="1" x14ac:dyDescent="0.25">
      <c r="A320" s="19" t="s">
        <v>125</v>
      </c>
      <c r="B320" s="35">
        <v>317</v>
      </c>
      <c r="C320" s="20">
        <f t="shared" si="44"/>
        <v>0</v>
      </c>
      <c r="D320" s="20">
        <f>IF(G319=0,0,IF(G319&lt;BondCalculator!$B$12,G319+E320,BondCalculator!$B$12))</f>
        <v>0</v>
      </c>
      <c r="E320" s="20">
        <f>C320*BondCalculator!$B$5/12</f>
        <v>0</v>
      </c>
      <c r="F320" s="20">
        <f t="shared" si="45"/>
        <v>0</v>
      </c>
      <c r="G320" s="20">
        <f t="shared" si="42"/>
        <v>0</v>
      </c>
      <c r="H320" s="26">
        <f t="shared" si="43"/>
        <v>0</v>
      </c>
      <c r="J320" s="22">
        <f t="shared" si="46"/>
        <v>0</v>
      </c>
      <c r="K320" s="22">
        <f>IF(N319=0,0,IF(N319&lt;BondCalculator!$B$12+BondCalculator!$B$7,N319+L320,BondCalculator!$B$12+BondCalculator!$B$7))</f>
        <v>0</v>
      </c>
      <c r="L320" s="22">
        <f>J320*BondCalculator!$B$5/12</f>
        <v>0</v>
      </c>
      <c r="M320" s="22">
        <f t="shared" si="47"/>
        <v>0</v>
      </c>
      <c r="N320" s="22">
        <f t="shared" si="48"/>
        <v>0</v>
      </c>
      <c r="P320" s="22">
        <f t="shared" si="49"/>
        <v>0</v>
      </c>
      <c r="Q320" s="23">
        <f>-PV(BondCalculator!$B$9/12,B320,0,1,0)</f>
        <v>0.20575880226085214</v>
      </c>
      <c r="S320" s="24">
        <f t="shared" si="41"/>
        <v>0</v>
      </c>
    </row>
    <row r="321" spans="1:19" ht="16.05" customHeight="1" x14ac:dyDescent="0.25">
      <c r="A321" s="19" t="s">
        <v>125</v>
      </c>
      <c r="B321" s="35">
        <v>318</v>
      </c>
      <c r="C321" s="20">
        <f t="shared" si="44"/>
        <v>0</v>
      </c>
      <c r="D321" s="20">
        <f>IF(G320=0,0,IF(G320&lt;BondCalculator!$B$12,G320+E321,BondCalculator!$B$12))</f>
        <v>0</v>
      </c>
      <c r="E321" s="20">
        <f>C321*BondCalculator!$B$5/12</f>
        <v>0</v>
      </c>
      <c r="F321" s="20">
        <f t="shared" si="45"/>
        <v>0</v>
      </c>
      <c r="G321" s="20">
        <f t="shared" si="42"/>
        <v>0</v>
      </c>
      <c r="H321" s="26">
        <f t="shared" si="43"/>
        <v>0</v>
      </c>
      <c r="J321" s="22">
        <f t="shared" si="46"/>
        <v>0</v>
      </c>
      <c r="K321" s="22">
        <f>IF(N320=0,0,IF(N320&lt;BondCalculator!$B$12+BondCalculator!$B$7,N320+L321,BondCalculator!$B$12+BondCalculator!$B$7))</f>
        <v>0</v>
      </c>
      <c r="L321" s="22">
        <f>J321*BondCalculator!$B$5/12</f>
        <v>0</v>
      </c>
      <c r="M321" s="22">
        <f t="shared" si="47"/>
        <v>0</v>
      </c>
      <c r="N321" s="22">
        <f t="shared" si="48"/>
        <v>0</v>
      </c>
      <c r="P321" s="22">
        <f t="shared" si="49"/>
        <v>0</v>
      </c>
      <c r="Q321" s="23">
        <f>-PV(BondCalculator!$B$9/12,B321,0,1,0)</f>
        <v>0.20473512662771357</v>
      </c>
      <c r="S321" s="24">
        <f t="shared" si="41"/>
        <v>0</v>
      </c>
    </row>
    <row r="322" spans="1:19" ht="16.05" customHeight="1" x14ac:dyDescent="0.25">
      <c r="A322" s="19" t="s">
        <v>125</v>
      </c>
      <c r="B322" s="35">
        <v>319</v>
      </c>
      <c r="C322" s="20">
        <f t="shared" si="44"/>
        <v>0</v>
      </c>
      <c r="D322" s="20">
        <f>IF(G321=0,0,IF(G321&lt;BondCalculator!$B$12,G321+E322,BondCalculator!$B$12))</f>
        <v>0</v>
      </c>
      <c r="E322" s="20">
        <f>C322*BondCalculator!$B$5/12</f>
        <v>0</v>
      </c>
      <c r="F322" s="20">
        <f t="shared" si="45"/>
        <v>0</v>
      </c>
      <c r="G322" s="20">
        <f t="shared" si="42"/>
        <v>0</v>
      </c>
      <c r="H322" s="26">
        <f t="shared" si="43"/>
        <v>0</v>
      </c>
      <c r="J322" s="22">
        <f t="shared" si="46"/>
        <v>0</v>
      </c>
      <c r="K322" s="22">
        <f>IF(N321=0,0,IF(N321&lt;BondCalculator!$B$12+BondCalculator!$B$7,N321+L322,BondCalculator!$B$12+BondCalculator!$B$7))</f>
        <v>0</v>
      </c>
      <c r="L322" s="22">
        <f>J322*BondCalculator!$B$5/12</f>
        <v>0</v>
      </c>
      <c r="M322" s="22">
        <f t="shared" si="47"/>
        <v>0</v>
      </c>
      <c r="N322" s="22">
        <f t="shared" si="48"/>
        <v>0</v>
      </c>
      <c r="P322" s="22">
        <f t="shared" si="49"/>
        <v>0</v>
      </c>
      <c r="Q322" s="23">
        <f>-PV(BondCalculator!$B$9/12,B322,0,1,0)</f>
        <v>0.20371654390817276</v>
      </c>
      <c r="S322" s="24">
        <f t="shared" si="41"/>
        <v>0</v>
      </c>
    </row>
    <row r="323" spans="1:19" ht="16.05" customHeight="1" x14ac:dyDescent="0.25">
      <c r="A323" s="19" t="s">
        <v>125</v>
      </c>
      <c r="B323" s="35">
        <v>320</v>
      </c>
      <c r="C323" s="20">
        <f t="shared" si="44"/>
        <v>0</v>
      </c>
      <c r="D323" s="20">
        <f>IF(G322=0,0,IF(G322&lt;BondCalculator!$B$12,G322+E323,BondCalculator!$B$12))</f>
        <v>0</v>
      </c>
      <c r="E323" s="20">
        <f>C323*BondCalculator!$B$5/12</f>
        <v>0</v>
      </c>
      <c r="F323" s="20">
        <f t="shared" si="45"/>
        <v>0</v>
      </c>
      <c r="G323" s="20">
        <f t="shared" si="42"/>
        <v>0</v>
      </c>
      <c r="H323" s="26">
        <f t="shared" si="43"/>
        <v>0</v>
      </c>
      <c r="J323" s="22">
        <f t="shared" si="46"/>
        <v>0</v>
      </c>
      <c r="K323" s="22">
        <f>IF(N322=0,0,IF(N322&lt;BondCalculator!$B$12+BondCalculator!$B$7,N322+L323,BondCalculator!$B$12+BondCalculator!$B$7))</f>
        <v>0</v>
      </c>
      <c r="L323" s="22">
        <f>J323*BondCalculator!$B$5/12</f>
        <v>0</v>
      </c>
      <c r="M323" s="22">
        <f t="shared" si="47"/>
        <v>0</v>
      </c>
      <c r="N323" s="22">
        <f t="shared" si="48"/>
        <v>0</v>
      </c>
      <c r="P323" s="22">
        <f t="shared" si="49"/>
        <v>0</v>
      </c>
      <c r="Q323" s="23">
        <f>-PV(BondCalculator!$B$9/12,B323,0,1,0)</f>
        <v>0.20270302876435101</v>
      </c>
      <c r="S323" s="24">
        <f t="shared" si="41"/>
        <v>0</v>
      </c>
    </row>
    <row r="324" spans="1:19" ht="16.05" customHeight="1" x14ac:dyDescent="0.25">
      <c r="A324" s="19" t="s">
        <v>125</v>
      </c>
      <c r="B324" s="35">
        <v>321</v>
      </c>
      <c r="C324" s="20">
        <f t="shared" si="44"/>
        <v>0</v>
      </c>
      <c r="D324" s="20">
        <f>IF(G323=0,0,IF(G323&lt;BondCalculator!$B$12,G323+E324,BondCalculator!$B$12))</f>
        <v>0</v>
      </c>
      <c r="E324" s="20">
        <f>C324*BondCalculator!$B$5/12</f>
        <v>0</v>
      </c>
      <c r="F324" s="20">
        <f t="shared" si="45"/>
        <v>0</v>
      </c>
      <c r="G324" s="20">
        <f t="shared" si="42"/>
        <v>0</v>
      </c>
      <c r="H324" s="26">
        <f t="shared" si="43"/>
        <v>0</v>
      </c>
      <c r="J324" s="22">
        <f t="shared" si="46"/>
        <v>0</v>
      </c>
      <c r="K324" s="22">
        <f>IF(N323=0,0,IF(N323&lt;BondCalculator!$B$12+BondCalculator!$B$7,N323+L324,BondCalculator!$B$12+BondCalculator!$B$7))</f>
        <v>0</v>
      </c>
      <c r="L324" s="22">
        <f>J324*BondCalculator!$B$5/12</f>
        <v>0</v>
      </c>
      <c r="M324" s="22">
        <f t="shared" si="47"/>
        <v>0</v>
      </c>
      <c r="N324" s="22">
        <f t="shared" si="48"/>
        <v>0</v>
      </c>
      <c r="P324" s="22">
        <f t="shared" si="49"/>
        <v>0</v>
      </c>
      <c r="Q324" s="23">
        <f>-PV(BondCalculator!$B$9/12,B324,0,1,0)</f>
        <v>0.2016945559844289</v>
      </c>
      <c r="S324" s="24">
        <f t="shared" ref="S324:S363" si="50">P324*Q324</f>
        <v>0</v>
      </c>
    </row>
    <row r="325" spans="1:19" ht="16.05" customHeight="1" x14ac:dyDescent="0.25">
      <c r="A325" s="19" t="s">
        <v>125</v>
      </c>
      <c r="B325" s="35">
        <v>322</v>
      </c>
      <c r="C325" s="20">
        <f t="shared" si="44"/>
        <v>0</v>
      </c>
      <c r="D325" s="20">
        <f>IF(G324=0,0,IF(G324&lt;BondCalculator!$B$12,G324+E325,BondCalculator!$B$12))</f>
        <v>0</v>
      </c>
      <c r="E325" s="20">
        <f>C325*BondCalculator!$B$5/12</f>
        <v>0</v>
      </c>
      <c r="F325" s="20">
        <f t="shared" si="45"/>
        <v>0</v>
      </c>
      <c r="G325" s="20">
        <f t="shared" ref="G325:G363" si="51">IF(ROUND(C325-F325,0)=0,0,C325-F325)</f>
        <v>0</v>
      </c>
      <c r="H325" s="26">
        <f t="shared" ref="H325:H363" si="52">G325/$C$4</f>
        <v>0</v>
      </c>
      <c r="J325" s="22">
        <f t="shared" si="46"/>
        <v>0</v>
      </c>
      <c r="K325" s="22">
        <f>IF(N324=0,0,IF(N324&lt;BondCalculator!$B$12+BondCalculator!$B$7,N324+L325,BondCalculator!$B$12+BondCalculator!$B$7))</f>
        <v>0</v>
      </c>
      <c r="L325" s="22">
        <f>J325*BondCalculator!$B$5/12</f>
        <v>0</v>
      </c>
      <c r="M325" s="22">
        <f t="shared" si="47"/>
        <v>0</v>
      </c>
      <c r="N325" s="22">
        <f t="shared" si="48"/>
        <v>0</v>
      </c>
      <c r="P325" s="22">
        <f t="shared" si="49"/>
        <v>0</v>
      </c>
      <c r="Q325" s="23">
        <f>-PV(BondCalculator!$B$9/12,B325,0,1,0)</f>
        <v>0.20069110048201882</v>
      </c>
      <c r="S325" s="24">
        <f t="shared" si="50"/>
        <v>0</v>
      </c>
    </row>
    <row r="326" spans="1:19" ht="16.05" customHeight="1" x14ac:dyDescent="0.25">
      <c r="A326" s="19" t="s">
        <v>125</v>
      </c>
      <c r="B326" s="35">
        <v>323</v>
      </c>
      <c r="C326" s="20">
        <f t="shared" ref="C326:C363" si="53">IF(ROUND(G325,0)=0,0,G325)</f>
        <v>0</v>
      </c>
      <c r="D326" s="20">
        <f>IF(G325=0,0,IF(G325&lt;BondCalculator!$B$12,G325+E326,BondCalculator!$B$12))</f>
        <v>0</v>
      </c>
      <c r="E326" s="20">
        <f>C326*BondCalculator!$B$5/12</f>
        <v>0</v>
      </c>
      <c r="F326" s="20">
        <f t="shared" si="45"/>
        <v>0</v>
      </c>
      <c r="G326" s="20">
        <f t="shared" si="51"/>
        <v>0</v>
      </c>
      <c r="H326" s="26">
        <f t="shared" si="52"/>
        <v>0</v>
      </c>
      <c r="J326" s="22">
        <f t="shared" si="46"/>
        <v>0</v>
      </c>
      <c r="K326" s="22">
        <f>IF(N325=0,0,IF(N325&lt;BondCalculator!$B$12+BondCalculator!$B$7,N325+L326,BondCalculator!$B$12+BondCalculator!$B$7))</f>
        <v>0</v>
      </c>
      <c r="L326" s="22">
        <f>J326*BondCalculator!$B$5/12</f>
        <v>0</v>
      </c>
      <c r="M326" s="22">
        <f t="shared" si="47"/>
        <v>0</v>
      </c>
      <c r="N326" s="22">
        <f t="shared" si="48"/>
        <v>0</v>
      </c>
      <c r="P326" s="22">
        <f t="shared" si="49"/>
        <v>0</v>
      </c>
      <c r="Q326" s="23">
        <f>-PV(BondCalculator!$B$9/12,B326,0,1,0)</f>
        <v>0.19969263729554115</v>
      </c>
      <c r="S326" s="24">
        <f t="shared" si="50"/>
        <v>0</v>
      </c>
    </row>
    <row r="327" spans="1:19" ht="16.05" customHeight="1" x14ac:dyDescent="0.25">
      <c r="A327" s="19" t="s">
        <v>125</v>
      </c>
      <c r="B327" s="35">
        <v>324</v>
      </c>
      <c r="C327" s="20">
        <f t="shared" si="53"/>
        <v>0</v>
      </c>
      <c r="D327" s="20">
        <f>IF(G326=0,0,IF(G326&lt;BondCalculator!$B$12,G326+E327,BondCalculator!$B$12))</f>
        <v>0</v>
      </c>
      <c r="E327" s="20">
        <f>C327*BondCalculator!$B$5/12</f>
        <v>0</v>
      </c>
      <c r="F327" s="20">
        <f t="shared" si="45"/>
        <v>0</v>
      </c>
      <c r="G327" s="20">
        <f t="shared" si="51"/>
        <v>0</v>
      </c>
      <c r="H327" s="26">
        <f t="shared" si="52"/>
        <v>0</v>
      </c>
      <c r="J327" s="22">
        <f t="shared" si="46"/>
        <v>0</v>
      </c>
      <c r="K327" s="22">
        <f>IF(N326=0,0,IF(N326&lt;BondCalculator!$B$12+BondCalculator!$B$7,N326+L327,BondCalculator!$B$12+BondCalculator!$B$7))</f>
        <v>0</v>
      </c>
      <c r="L327" s="22">
        <f>J327*BondCalculator!$B$5/12</f>
        <v>0</v>
      </c>
      <c r="M327" s="22">
        <f t="shared" si="47"/>
        <v>0</v>
      </c>
      <c r="N327" s="22">
        <f t="shared" si="48"/>
        <v>0</v>
      </c>
      <c r="P327" s="22">
        <f t="shared" si="49"/>
        <v>0</v>
      </c>
      <c r="Q327" s="23">
        <f>-PV(BondCalculator!$B$9/12,B327,0,1,0)</f>
        <v>0.19869914158760318</v>
      </c>
      <c r="S327" s="24">
        <f t="shared" si="50"/>
        <v>0</v>
      </c>
    </row>
    <row r="328" spans="1:19" ht="16.05" customHeight="1" x14ac:dyDescent="0.25">
      <c r="A328" s="19" t="s">
        <v>126</v>
      </c>
      <c r="B328" s="35">
        <v>325</v>
      </c>
      <c r="C328" s="20">
        <f t="shared" si="53"/>
        <v>0</v>
      </c>
      <c r="D328" s="20">
        <f>IF(G327=0,0,IF(G327&lt;BondCalculator!$B$12,G327+E328,BondCalculator!$B$12))</f>
        <v>0</v>
      </c>
      <c r="E328" s="20">
        <f>C328*BondCalculator!$B$5/12</f>
        <v>0</v>
      </c>
      <c r="F328" s="20">
        <f t="shared" si="45"/>
        <v>0</v>
      </c>
      <c r="G328" s="20">
        <f t="shared" si="51"/>
        <v>0</v>
      </c>
      <c r="H328" s="26">
        <f t="shared" si="52"/>
        <v>0</v>
      </c>
      <c r="J328" s="22">
        <f t="shared" si="46"/>
        <v>0</v>
      </c>
      <c r="K328" s="22">
        <f>IF(N327=0,0,IF(N327&lt;BondCalculator!$B$12+BondCalculator!$B$7,N327+L328,BondCalculator!$B$12+BondCalculator!$B$7))</f>
        <v>0</v>
      </c>
      <c r="L328" s="22">
        <f>J328*BondCalculator!$B$5/12</f>
        <v>0</v>
      </c>
      <c r="M328" s="22">
        <f t="shared" si="47"/>
        <v>0</v>
      </c>
      <c r="N328" s="22">
        <f t="shared" si="48"/>
        <v>0</v>
      </c>
      <c r="P328" s="22">
        <f t="shared" si="49"/>
        <v>0</v>
      </c>
      <c r="Q328" s="23">
        <f>-PV(BondCalculator!$B$9/12,B328,0,1,0)</f>
        <v>0.19771058864438132</v>
      </c>
      <c r="S328" s="24">
        <f t="shared" si="50"/>
        <v>0</v>
      </c>
    </row>
    <row r="329" spans="1:19" ht="16.05" customHeight="1" x14ac:dyDescent="0.25">
      <c r="A329" s="19" t="s">
        <v>126</v>
      </c>
      <c r="B329" s="35">
        <v>326</v>
      </c>
      <c r="C329" s="20">
        <f t="shared" si="53"/>
        <v>0</v>
      </c>
      <c r="D329" s="20">
        <f>IF(G328=0,0,IF(G328&lt;BondCalculator!$B$12,G328+E329,BondCalculator!$B$12))</f>
        <v>0</v>
      </c>
      <c r="E329" s="20">
        <f>C329*BondCalculator!$B$5/12</f>
        <v>0</v>
      </c>
      <c r="F329" s="20">
        <f t="shared" si="45"/>
        <v>0</v>
      </c>
      <c r="G329" s="20">
        <f t="shared" si="51"/>
        <v>0</v>
      </c>
      <c r="H329" s="26">
        <f t="shared" si="52"/>
        <v>0</v>
      </c>
      <c r="J329" s="22">
        <f t="shared" si="46"/>
        <v>0</v>
      </c>
      <c r="K329" s="22">
        <f>IF(N328=0,0,IF(N328&lt;BondCalculator!$B$12+BondCalculator!$B$7,N328+L329,BondCalculator!$B$12+BondCalculator!$B$7))</f>
        <v>0</v>
      </c>
      <c r="L329" s="22">
        <f>J329*BondCalculator!$B$5/12</f>
        <v>0</v>
      </c>
      <c r="M329" s="22">
        <f t="shared" si="47"/>
        <v>0</v>
      </c>
      <c r="N329" s="22">
        <f t="shared" si="48"/>
        <v>0</v>
      </c>
      <c r="P329" s="22">
        <f t="shared" si="49"/>
        <v>0</v>
      </c>
      <c r="Q329" s="23">
        <f>-PV(BondCalculator!$B$9/12,B329,0,1,0)</f>
        <v>0.19672695387500633</v>
      </c>
      <c r="S329" s="24">
        <f t="shared" si="50"/>
        <v>0</v>
      </c>
    </row>
    <row r="330" spans="1:19" ht="16.05" customHeight="1" x14ac:dyDescent="0.25">
      <c r="A330" s="19" t="s">
        <v>126</v>
      </c>
      <c r="B330" s="35">
        <v>327</v>
      </c>
      <c r="C330" s="20">
        <f t="shared" si="53"/>
        <v>0</v>
      </c>
      <c r="D330" s="20">
        <f>IF(G329=0,0,IF(G329&lt;BondCalculator!$B$12,G329+E330,BondCalculator!$B$12))</f>
        <v>0</v>
      </c>
      <c r="E330" s="20">
        <f>C330*BondCalculator!$B$5/12</f>
        <v>0</v>
      </c>
      <c r="F330" s="20">
        <f t="shared" si="45"/>
        <v>0</v>
      </c>
      <c r="G330" s="20">
        <f t="shared" si="51"/>
        <v>0</v>
      </c>
      <c r="H330" s="26">
        <f t="shared" si="52"/>
        <v>0</v>
      </c>
      <c r="J330" s="22">
        <f t="shared" si="46"/>
        <v>0</v>
      </c>
      <c r="K330" s="22">
        <f>IF(N329=0,0,IF(N329&lt;BondCalculator!$B$12+BondCalculator!$B$7,N329+L330,BondCalculator!$B$12+BondCalculator!$B$7))</f>
        <v>0</v>
      </c>
      <c r="L330" s="22">
        <f>J330*BondCalculator!$B$5/12</f>
        <v>0</v>
      </c>
      <c r="M330" s="22">
        <f t="shared" si="47"/>
        <v>0</v>
      </c>
      <c r="N330" s="22">
        <f t="shared" si="48"/>
        <v>0</v>
      </c>
      <c r="P330" s="22">
        <f t="shared" si="49"/>
        <v>0</v>
      </c>
      <c r="Q330" s="23">
        <f>-PV(BondCalculator!$B$9/12,B330,0,1,0)</f>
        <v>0.19574821281095159</v>
      </c>
      <c r="S330" s="24">
        <f t="shared" si="50"/>
        <v>0</v>
      </c>
    </row>
    <row r="331" spans="1:19" ht="16.05" customHeight="1" x14ac:dyDescent="0.25">
      <c r="A331" s="19" t="s">
        <v>126</v>
      </c>
      <c r="B331" s="35">
        <v>328</v>
      </c>
      <c r="C331" s="20">
        <f t="shared" si="53"/>
        <v>0</v>
      </c>
      <c r="D331" s="20">
        <f>IF(G330=0,0,IF(G330&lt;BondCalculator!$B$12,G330+E331,BondCalculator!$B$12))</f>
        <v>0</v>
      </c>
      <c r="E331" s="20">
        <f>C331*BondCalculator!$B$5/12</f>
        <v>0</v>
      </c>
      <c r="F331" s="20">
        <f t="shared" si="45"/>
        <v>0</v>
      </c>
      <c r="G331" s="20">
        <f t="shared" si="51"/>
        <v>0</v>
      </c>
      <c r="H331" s="26">
        <f t="shared" si="52"/>
        <v>0</v>
      </c>
      <c r="J331" s="22">
        <f t="shared" si="46"/>
        <v>0</v>
      </c>
      <c r="K331" s="22">
        <f>IF(N330=0,0,IF(N330&lt;BondCalculator!$B$12+BondCalculator!$B$7,N330+L331,BondCalculator!$B$12+BondCalculator!$B$7))</f>
        <v>0</v>
      </c>
      <c r="L331" s="22">
        <f>J331*BondCalculator!$B$5/12</f>
        <v>0</v>
      </c>
      <c r="M331" s="22">
        <f t="shared" si="47"/>
        <v>0</v>
      </c>
      <c r="N331" s="22">
        <f t="shared" si="48"/>
        <v>0</v>
      </c>
      <c r="P331" s="22">
        <f t="shared" si="49"/>
        <v>0</v>
      </c>
      <c r="Q331" s="23">
        <f>-PV(BondCalculator!$B$9/12,B331,0,1,0)</f>
        <v>0.19477434110542449</v>
      </c>
      <c r="S331" s="24">
        <f t="shared" si="50"/>
        <v>0</v>
      </c>
    </row>
    <row r="332" spans="1:19" ht="16.05" customHeight="1" x14ac:dyDescent="0.25">
      <c r="A332" s="19" t="s">
        <v>126</v>
      </c>
      <c r="B332" s="35">
        <v>329</v>
      </c>
      <c r="C332" s="20">
        <f t="shared" si="53"/>
        <v>0</v>
      </c>
      <c r="D332" s="20">
        <f>IF(G331=0,0,IF(G331&lt;BondCalculator!$B$12,G331+E332,BondCalculator!$B$12))</f>
        <v>0</v>
      </c>
      <c r="E332" s="20">
        <f>C332*BondCalculator!$B$5/12</f>
        <v>0</v>
      </c>
      <c r="F332" s="20">
        <f t="shared" si="45"/>
        <v>0</v>
      </c>
      <c r="G332" s="20">
        <f t="shared" si="51"/>
        <v>0</v>
      </c>
      <c r="H332" s="26">
        <f t="shared" si="52"/>
        <v>0</v>
      </c>
      <c r="J332" s="22">
        <f t="shared" si="46"/>
        <v>0</v>
      </c>
      <c r="K332" s="22">
        <f>IF(N331=0,0,IF(N331&lt;BondCalculator!$B$12+BondCalculator!$B$7,N331+L332,BondCalculator!$B$12+BondCalculator!$B$7))</f>
        <v>0</v>
      </c>
      <c r="L332" s="22">
        <f>J332*BondCalculator!$B$5/12</f>
        <v>0</v>
      </c>
      <c r="M332" s="22">
        <f t="shared" si="47"/>
        <v>0</v>
      </c>
      <c r="N332" s="22">
        <f t="shared" si="48"/>
        <v>0</v>
      </c>
      <c r="P332" s="22">
        <f t="shared" si="49"/>
        <v>0</v>
      </c>
      <c r="Q332" s="23">
        <f>-PV(BondCalculator!$B$9/12,B332,0,1,0)</f>
        <v>0.19380531453276068</v>
      </c>
      <c r="S332" s="24">
        <f t="shared" si="50"/>
        <v>0</v>
      </c>
    </row>
    <row r="333" spans="1:19" ht="16.05" customHeight="1" x14ac:dyDescent="0.25">
      <c r="A333" s="19" t="s">
        <v>126</v>
      </c>
      <c r="B333" s="35">
        <v>330</v>
      </c>
      <c r="C333" s="20">
        <f t="shared" si="53"/>
        <v>0</v>
      </c>
      <c r="D333" s="20">
        <f>IF(G332=0,0,IF(G332&lt;BondCalculator!$B$12,G332+E333,BondCalculator!$B$12))</f>
        <v>0</v>
      </c>
      <c r="E333" s="20">
        <f>C333*BondCalculator!$B$5/12</f>
        <v>0</v>
      </c>
      <c r="F333" s="20">
        <f t="shared" si="45"/>
        <v>0</v>
      </c>
      <c r="G333" s="20">
        <f t="shared" si="51"/>
        <v>0</v>
      </c>
      <c r="H333" s="26">
        <f t="shared" si="52"/>
        <v>0</v>
      </c>
      <c r="J333" s="22">
        <f t="shared" si="46"/>
        <v>0</v>
      </c>
      <c r="K333" s="22">
        <f>IF(N332=0,0,IF(N332&lt;BondCalculator!$B$12+BondCalculator!$B$7,N332+L333,BondCalculator!$B$12+BondCalculator!$B$7))</f>
        <v>0</v>
      </c>
      <c r="L333" s="22">
        <f>J333*BondCalculator!$B$5/12</f>
        <v>0</v>
      </c>
      <c r="M333" s="22">
        <f t="shared" si="47"/>
        <v>0</v>
      </c>
      <c r="N333" s="22">
        <f t="shared" si="48"/>
        <v>0</v>
      </c>
      <c r="P333" s="22">
        <f t="shared" si="49"/>
        <v>0</v>
      </c>
      <c r="Q333" s="23">
        <f>-PV(BondCalculator!$B$9/12,B333,0,1,0)</f>
        <v>0.19284110898782164</v>
      </c>
      <c r="S333" s="24">
        <f t="shared" si="50"/>
        <v>0</v>
      </c>
    </row>
    <row r="334" spans="1:19" ht="16.05" customHeight="1" x14ac:dyDescent="0.25">
      <c r="A334" s="19" t="s">
        <v>126</v>
      </c>
      <c r="B334" s="35">
        <v>331</v>
      </c>
      <c r="C334" s="20">
        <f t="shared" si="53"/>
        <v>0</v>
      </c>
      <c r="D334" s="20">
        <f>IF(G333=0,0,IF(G333&lt;BondCalculator!$B$12,G333+E334,BondCalculator!$B$12))</f>
        <v>0</v>
      </c>
      <c r="E334" s="20">
        <f>C334*BondCalculator!$B$5/12</f>
        <v>0</v>
      </c>
      <c r="F334" s="20">
        <f t="shared" si="45"/>
        <v>0</v>
      </c>
      <c r="G334" s="20">
        <f t="shared" si="51"/>
        <v>0</v>
      </c>
      <c r="H334" s="26">
        <f t="shared" si="52"/>
        <v>0</v>
      </c>
      <c r="J334" s="22">
        <f t="shared" si="46"/>
        <v>0</v>
      </c>
      <c r="K334" s="22">
        <f>IF(N333=0,0,IF(N333&lt;BondCalculator!$B$12+BondCalculator!$B$7,N333+L334,BondCalculator!$B$12+BondCalculator!$B$7))</f>
        <v>0</v>
      </c>
      <c r="L334" s="22">
        <f>J334*BondCalculator!$B$5/12</f>
        <v>0</v>
      </c>
      <c r="M334" s="22">
        <f t="shared" si="47"/>
        <v>0</v>
      </c>
      <c r="N334" s="22">
        <f t="shared" si="48"/>
        <v>0</v>
      </c>
      <c r="P334" s="22">
        <f t="shared" si="49"/>
        <v>0</v>
      </c>
      <c r="Q334" s="23">
        <f>-PV(BondCalculator!$B$9/12,B334,0,1,0)</f>
        <v>0.19188170048539469</v>
      </c>
      <c r="S334" s="24">
        <f t="shared" si="50"/>
        <v>0</v>
      </c>
    </row>
    <row r="335" spans="1:19" ht="16.05" customHeight="1" x14ac:dyDescent="0.25">
      <c r="A335" s="19" t="s">
        <v>126</v>
      </c>
      <c r="B335" s="35">
        <v>332</v>
      </c>
      <c r="C335" s="20">
        <f t="shared" si="53"/>
        <v>0</v>
      </c>
      <c r="D335" s="20">
        <f>IF(G334=0,0,IF(G334&lt;BondCalculator!$B$12,G334+E335,BondCalculator!$B$12))</f>
        <v>0</v>
      </c>
      <c r="E335" s="20">
        <f>C335*BondCalculator!$B$5/12</f>
        <v>0</v>
      </c>
      <c r="F335" s="20">
        <f t="shared" si="45"/>
        <v>0</v>
      </c>
      <c r="G335" s="20">
        <f t="shared" si="51"/>
        <v>0</v>
      </c>
      <c r="H335" s="26">
        <f t="shared" si="52"/>
        <v>0</v>
      </c>
      <c r="J335" s="22">
        <f t="shared" si="46"/>
        <v>0</v>
      </c>
      <c r="K335" s="22">
        <f>IF(N334=0,0,IF(N334&lt;BondCalculator!$B$12+BondCalculator!$B$7,N334+L335,BondCalculator!$B$12+BondCalculator!$B$7))</f>
        <v>0</v>
      </c>
      <c r="L335" s="22">
        <f>J335*BondCalculator!$B$5/12</f>
        <v>0</v>
      </c>
      <c r="M335" s="22">
        <f t="shared" si="47"/>
        <v>0</v>
      </c>
      <c r="N335" s="22">
        <f t="shared" si="48"/>
        <v>0</v>
      </c>
      <c r="P335" s="22">
        <f t="shared" si="49"/>
        <v>0</v>
      </c>
      <c r="Q335" s="23">
        <f>-PV(BondCalculator!$B$9/12,B335,0,1,0)</f>
        <v>0.19092706515959676</v>
      </c>
      <c r="S335" s="24">
        <f t="shared" si="50"/>
        <v>0</v>
      </c>
    </row>
    <row r="336" spans="1:19" ht="16.05" customHeight="1" x14ac:dyDescent="0.25">
      <c r="A336" s="19" t="s">
        <v>126</v>
      </c>
      <c r="B336" s="35">
        <v>333</v>
      </c>
      <c r="C336" s="20">
        <f t="shared" si="53"/>
        <v>0</v>
      </c>
      <c r="D336" s="20">
        <f>IF(G335=0,0,IF(G335&lt;BondCalculator!$B$12,G335+E336,BondCalculator!$B$12))</f>
        <v>0</v>
      </c>
      <c r="E336" s="20">
        <f>C336*BondCalculator!$B$5/12</f>
        <v>0</v>
      </c>
      <c r="F336" s="20">
        <f t="shared" si="45"/>
        <v>0</v>
      </c>
      <c r="G336" s="20">
        <f t="shared" si="51"/>
        <v>0</v>
      </c>
      <c r="H336" s="26">
        <f t="shared" si="52"/>
        <v>0</v>
      </c>
      <c r="J336" s="22">
        <f t="shared" si="46"/>
        <v>0</v>
      </c>
      <c r="K336" s="22">
        <f>IF(N335=0,0,IF(N335&lt;BondCalculator!$B$12+BondCalculator!$B$7,N335+L336,BondCalculator!$B$12+BondCalculator!$B$7))</f>
        <v>0</v>
      </c>
      <c r="L336" s="22">
        <f>J336*BondCalculator!$B$5/12</f>
        <v>0</v>
      </c>
      <c r="M336" s="22">
        <f t="shared" si="47"/>
        <v>0</v>
      </c>
      <c r="N336" s="22">
        <f t="shared" si="48"/>
        <v>0</v>
      </c>
      <c r="P336" s="22">
        <f t="shared" si="49"/>
        <v>0</v>
      </c>
      <c r="Q336" s="23">
        <f>-PV(BondCalculator!$B$9/12,B336,0,1,0)</f>
        <v>0.18997717926328037</v>
      </c>
      <c r="S336" s="24">
        <f t="shared" si="50"/>
        <v>0</v>
      </c>
    </row>
    <row r="337" spans="1:19" ht="16.05" customHeight="1" x14ac:dyDescent="0.25">
      <c r="A337" s="19" t="s">
        <v>126</v>
      </c>
      <c r="B337" s="35">
        <v>334</v>
      </c>
      <c r="C337" s="20">
        <f t="shared" si="53"/>
        <v>0</v>
      </c>
      <c r="D337" s="20">
        <f>IF(G336=0,0,IF(G336&lt;BondCalculator!$B$12,G336+E337,BondCalculator!$B$12))</f>
        <v>0</v>
      </c>
      <c r="E337" s="20">
        <f>C337*BondCalculator!$B$5/12</f>
        <v>0</v>
      </c>
      <c r="F337" s="20">
        <f t="shared" si="45"/>
        <v>0</v>
      </c>
      <c r="G337" s="20">
        <f t="shared" si="51"/>
        <v>0</v>
      </c>
      <c r="H337" s="26">
        <f t="shared" si="52"/>
        <v>0</v>
      </c>
      <c r="J337" s="22">
        <f t="shared" si="46"/>
        <v>0</v>
      </c>
      <c r="K337" s="22">
        <f>IF(N336=0,0,IF(N336&lt;BondCalculator!$B$12+BondCalculator!$B$7,N336+L337,BondCalculator!$B$12+BondCalculator!$B$7))</f>
        <v>0</v>
      </c>
      <c r="L337" s="22">
        <f>J337*BondCalculator!$B$5/12</f>
        <v>0</v>
      </c>
      <c r="M337" s="22">
        <f t="shared" si="47"/>
        <v>0</v>
      </c>
      <c r="N337" s="22">
        <f t="shared" si="48"/>
        <v>0</v>
      </c>
      <c r="P337" s="22">
        <f t="shared" si="49"/>
        <v>0</v>
      </c>
      <c r="Q337" s="23">
        <f>-PV(BondCalculator!$B$9/12,B337,0,1,0)</f>
        <v>0.18903201916744319</v>
      </c>
      <c r="S337" s="24">
        <f t="shared" si="50"/>
        <v>0</v>
      </c>
    </row>
    <row r="338" spans="1:19" ht="16.05" customHeight="1" x14ac:dyDescent="0.25">
      <c r="A338" s="19" t="s">
        <v>126</v>
      </c>
      <c r="B338" s="35">
        <v>335</v>
      </c>
      <c r="C338" s="20">
        <f t="shared" si="53"/>
        <v>0</v>
      </c>
      <c r="D338" s="20">
        <f>IF(G337=0,0,IF(G337&lt;BondCalculator!$B$12,G337+E338,BondCalculator!$B$12))</f>
        <v>0</v>
      </c>
      <c r="E338" s="20">
        <f>C338*BondCalculator!$B$5/12</f>
        <v>0</v>
      </c>
      <c r="F338" s="20">
        <f t="shared" si="45"/>
        <v>0</v>
      </c>
      <c r="G338" s="20">
        <f t="shared" si="51"/>
        <v>0</v>
      </c>
      <c r="H338" s="26">
        <f t="shared" si="52"/>
        <v>0</v>
      </c>
      <c r="J338" s="22">
        <f t="shared" si="46"/>
        <v>0</v>
      </c>
      <c r="K338" s="22">
        <f>IF(N337=0,0,IF(N337&lt;BondCalculator!$B$12+BondCalculator!$B$7,N337+L338,BondCalculator!$B$12+BondCalculator!$B$7))</f>
        <v>0</v>
      </c>
      <c r="L338" s="22">
        <f>J338*BondCalculator!$B$5/12</f>
        <v>0</v>
      </c>
      <c r="M338" s="22">
        <f t="shared" si="47"/>
        <v>0</v>
      </c>
      <c r="N338" s="22">
        <f t="shared" si="48"/>
        <v>0</v>
      </c>
      <c r="P338" s="22">
        <f t="shared" si="49"/>
        <v>0</v>
      </c>
      <c r="Q338" s="23">
        <f>-PV(BondCalculator!$B$9/12,B338,0,1,0)</f>
        <v>0.18809156136064004</v>
      </c>
      <c r="S338" s="24">
        <f t="shared" si="50"/>
        <v>0</v>
      </c>
    </row>
    <row r="339" spans="1:19" ht="16.05" customHeight="1" x14ac:dyDescent="0.25">
      <c r="A339" s="19" t="s">
        <v>126</v>
      </c>
      <c r="B339" s="35">
        <v>336</v>
      </c>
      <c r="C339" s="20">
        <f t="shared" si="53"/>
        <v>0</v>
      </c>
      <c r="D339" s="20">
        <f>IF(G338=0,0,IF(G338&lt;BondCalculator!$B$12,G338+E339,BondCalculator!$B$12))</f>
        <v>0</v>
      </c>
      <c r="E339" s="20">
        <f>C339*BondCalculator!$B$5/12</f>
        <v>0</v>
      </c>
      <c r="F339" s="20">
        <f t="shared" si="45"/>
        <v>0</v>
      </c>
      <c r="G339" s="20">
        <f t="shared" si="51"/>
        <v>0</v>
      </c>
      <c r="H339" s="26">
        <f t="shared" si="52"/>
        <v>0</v>
      </c>
      <c r="J339" s="22">
        <f t="shared" si="46"/>
        <v>0</v>
      </c>
      <c r="K339" s="22">
        <f>IF(N338=0,0,IF(N338&lt;BondCalculator!$B$12+BondCalculator!$B$7,N338+L339,BondCalculator!$B$12+BondCalculator!$B$7))</f>
        <v>0</v>
      </c>
      <c r="L339" s="22">
        <f>J339*BondCalculator!$B$5/12</f>
        <v>0</v>
      </c>
      <c r="M339" s="22">
        <f t="shared" si="47"/>
        <v>0</v>
      </c>
      <c r="N339" s="22">
        <f t="shared" si="48"/>
        <v>0</v>
      </c>
      <c r="P339" s="22">
        <f t="shared" si="49"/>
        <v>0</v>
      </c>
      <c r="Q339" s="23">
        <f>-PV(BondCalculator!$B$9/12,B339,0,1,0)</f>
        <v>0.18715578244839806</v>
      </c>
      <c r="S339" s="24">
        <f t="shared" si="50"/>
        <v>0</v>
      </c>
    </row>
    <row r="340" spans="1:19" ht="16.05" customHeight="1" x14ac:dyDescent="0.25">
      <c r="A340" s="19" t="s">
        <v>127</v>
      </c>
      <c r="B340" s="35">
        <v>337</v>
      </c>
      <c r="C340" s="20">
        <f t="shared" si="53"/>
        <v>0</v>
      </c>
      <c r="D340" s="20">
        <f>IF(G339=0,0,IF(G339&lt;BondCalculator!$B$12,G339+E340,BondCalculator!$B$12))</f>
        <v>0</v>
      </c>
      <c r="E340" s="20">
        <f>C340*BondCalculator!$B$5/12</f>
        <v>0</v>
      </c>
      <c r="F340" s="20">
        <f t="shared" si="45"/>
        <v>0</v>
      </c>
      <c r="G340" s="20">
        <f t="shared" si="51"/>
        <v>0</v>
      </c>
      <c r="H340" s="26">
        <f t="shared" si="52"/>
        <v>0</v>
      </c>
      <c r="J340" s="22">
        <f t="shared" si="46"/>
        <v>0</v>
      </c>
      <c r="K340" s="22">
        <f>IF(N339=0,0,IF(N339&lt;BondCalculator!$B$12+BondCalculator!$B$7,N339+L340,BondCalculator!$B$12+BondCalculator!$B$7))</f>
        <v>0</v>
      </c>
      <c r="L340" s="22">
        <f>J340*BondCalculator!$B$5/12</f>
        <v>0</v>
      </c>
      <c r="M340" s="22">
        <f t="shared" si="47"/>
        <v>0</v>
      </c>
      <c r="N340" s="22">
        <f t="shared" si="48"/>
        <v>0</v>
      </c>
      <c r="P340" s="22">
        <f t="shared" si="49"/>
        <v>0</v>
      </c>
      <c r="Q340" s="23">
        <f>-PV(BondCalculator!$B$9/12,B340,0,1,0)</f>
        <v>0.18622465915263489</v>
      </c>
      <c r="S340" s="24">
        <f t="shared" si="50"/>
        <v>0</v>
      </c>
    </row>
    <row r="341" spans="1:19" ht="16.05" customHeight="1" x14ac:dyDescent="0.25">
      <c r="A341" s="19" t="s">
        <v>127</v>
      </c>
      <c r="B341" s="35">
        <v>338</v>
      </c>
      <c r="C341" s="20">
        <f t="shared" si="53"/>
        <v>0</v>
      </c>
      <c r="D341" s="20">
        <f>IF(G340=0,0,IF(G340&lt;BondCalculator!$B$12,G340+E341,BondCalculator!$B$12))</f>
        <v>0</v>
      </c>
      <c r="E341" s="20">
        <f>C341*BondCalculator!$B$5/12</f>
        <v>0</v>
      </c>
      <c r="F341" s="20">
        <f t="shared" si="45"/>
        <v>0</v>
      </c>
      <c r="G341" s="20">
        <f t="shared" si="51"/>
        <v>0</v>
      </c>
      <c r="H341" s="26">
        <f t="shared" si="52"/>
        <v>0</v>
      </c>
      <c r="J341" s="22">
        <f t="shared" si="46"/>
        <v>0</v>
      </c>
      <c r="K341" s="22">
        <f>IF(N340=0,0,IF(N340&lt;BondCalculator!$B$12+BondCalculator!$B$7,N340+L341,BondCalculator!$B$12+BondCalculator!$B$7))</f>
        <v>0</v>
      </c>
      <c r="L341" s="22">
        <f>J341*BondCalculator!$B$5/12</f>
        <v>0</v>
      </c>
      <c r="M341" s="22">
        <f t="shared" si="47"/>
        <v>0</v>
      </c>
      <c r="N341" s="22">
        <f t="shared" si="48"/>
        <v>0</v>
      </c>
      <c r="P341" s="22">
        <f t="shared" si="49"/>
        <v>0</v>
      </c>
      <c r="Q341" s="23">
        <f>-PV(BondCalculator!$B$9/12,B341,0,1,0)</f>
        <v>0.18529816831107954</v>
      </c>
      <c r="S341" s="24">
        <f t="shared" si="50"/>
        <v>0</v>
      </c>
    </row>
    <row r="342" spans="1:19" ht="16.05" customHeight="1" x14ac:dyDescent="0.25">
      <c r="A342" s="19" t="s">
        <v>127</v>
      </c>
      <c r="B342" s="35">
        <v>339</v>
      </c>
      <c r="C342" s="20">
        <f t="shared" si="53"/>
        <v>0</v>
      </c>
      <c r="D342" s="20">
        <f>IF(G341=0,0,IF(G341&lt;BondCalculator!$B$12,G341+E342,BondCalculator!$B$12))</f>
        <v>0</v>
      </c>
      <c r="E342" s="20">
        <f>C342*BondCalculator!$B$5/12</f>
        <v>0</v>
      </c>
      <c r="F342" s="20">
        <f t="shared" si="45"/>
        <v>0</v>
      </c>
      <c r="G342" s="20">
        <f t="shared" si="51"/>
        <v>0</v>
      </c>
      <c r="H342" s="26">
        <f t="shared" si="52"/>
        <v>0</v>
      </c>
      <c r="J342" s="22">
        <f t="shared" si="46"/>
        <v>0</v>
      </c>
      <c r="K342" s="22">
        <f>IF(N341=0,0,IF(N341&lt;BondCalculator!$B$12+BondCalculator!$B$7,N341+L342,BondCalculator!$B$12+BondCalculator!$B$7))</f>
        <v>0</v>
      </c>
      <c r="L342" s="22">
        <f>J342*BondCalculator!$B$5/12</f>
        <v>0</v>
      </c>
      <c r="M342" s="22">
        <f t="shared" si="47"/>
        <v>0</v>
      </c>
      <c r="N342" s="22">
        <f t="shared" si="48"/>
        <v>0</v>
      </c>
      <c r="P342" s="22">
        <f t="shared" si="49"/>
        <v>0</v>
      </c>
      <c r="Q342" s="23">
        <f>-PV(BondCalculator!$B$9/12,B342,0,1,0)</f>
        <v>0.18437628687669608</v>
      </c>
      <c r="S342" s="24">
        <f t="shared" si="50"/>
        <v>0</v>
      </c>
    </row>
    <row r="343" spans="1:19" ht="16.05" customHeight="1" x14ac:dyDescent="0.25">
      <c r="A343" s="19" t="s">
        <v>127</v>
      </c>
      <c r="B343" s="35">
        <v>340</v>
      </c>
      <c r="C343" s="20">
        <f t="shared" si="53"/>
        <v>0</v>
      </c>
      <c r="D343" s="20">
        <f>IF(G342=0,0,IF(G342&lt;BondCalculator!$B$12,G342+E343,BondCalculator!$B$12))</f>
        <v>0</v>
      </c>
      <c r="E343" s="20">
        <f>C343*BondCalculator!$B$5/12</f>
        <v>0</v>
      </c>
      <c r="F343" s="20">
        <f t="shared" si="45"/>
        <v>0</v>
      </c>
      <c r="G343" s="20">
        <f t="shared" si="51"/>
        <v>0</v>
      </c>
      <c r="H343" s="26">
        <f t="shared" si="52"/>
        <v>0</v>
      </c>
      <c r="J343" s="22">
        <f t="shared" si="46"/>
        <v>0</v>
      </c>
      <c r="K343" s="22">
        <f>IF(N342=0,0,IF(N342&lt;BondCalculator!$B$12+BondCalculator!$B$7,N342+L343,BondCalculator!$B$12+BondCalculator!$B$7))</f>
        <v>0</v>
      </c>
      <c r="L343" s="22">
        <f>J343*BondCalculator!$B$5/12</f>
        <v>0</v>
      </c>
      <c r="M343" s="22">
        <f t="shared" si="47"/>
        <v>0</v>
      </c>
      <c r="N343" s="22">
        <f t="shared" si="48"/>
        <v>0</v>
      </c>
      <c r="P343" s="22">
        <f t="shared" si="49"/>
        <v>0</v>
      </c>
      <c r="Q343" s="23">
        <f>-PV(BondCalculator!$B$9/12,B343,0,1,0)</f>
        <v>0.18345899191711054</v>
      </c>
      <c r="S343" s="24">
        <f t="shared" si="50"/>
        <v>0</v>
      </c>
    </row>
    <row r="344" spans="1:19" ht="16.05" customHeight="1" x14ac:dyDescent="0.25">
      <c r="A344" s="19" t="s">
        <v>127</v>
      </c>
      <c r="B344" s="35">
        <v>341</v>
      </c>
      <c r="C344" s="20">
        <f t="shared" si="53"/>
        <v>0</v>
      </c>
      <c r="D344" s="20">
        <f>IF(G343=0,0,IF(G343&lt;BondCalculator!$B$12,G343+E344,BondCalculator!$B$12))</f>
        <v>0</v>
      </c>
      <c r="E344" s="20">
        <f>C344*BondCalculator!$B$5/12</f>
        <v>0</v>
      </c>
      <c r="F344" s="20">
        <f t="shared" si="45"/>
        <v>0</v>
      </c>
      <c r="G344" s="20">
        <f t="shared" si="51"/>
        <v>0</v>
      </c>
      <c r="H344" s="26">
        <f t="shared" si="52"/>
        <v>0</v>
      </c>
      <c r="J344" s="22">
        <f t="shared" si="46"/>
        <v>0</v>
      </c>
      <c r="K344" s="22">
        <f>IF(N343=0,0,IF(N343&lt;BondCalculator!$B$12+BondCalculator!$B$7,N343+L344,BondCalculator!$B$12+BondCalculator!$B$7))</f>
        <v>0</v>
      </c>
      <c r="L344" s="22">
        <f>J344*BondCalculator!$B$5/12</f>
        <v>0</v>
      </c>
      <c r="M344" s="22">
        <f t="shared" si="47"/>
        <v>0</v>
      </c>
      <c r="N344" s="22">
        <f t="shared" si="48"/>
        <v>0</v>
      </c>
      <c r="P344" s="22">
        <f t="shared" si="49"/>
        <v>0</v>
      </c>
      <c r="Q344" s="23">
        <f>-PV(BondCalculator!$B$9/12,B344,0,1,0)</f>
        <v>0.18254626061404039</v>
      </c>
      <c r="S344" s="24">
        <f t="shared" si="50"/>
        <v>0</v>
      </c>
    </row>
    <row r="345" spans="1:19" ht="16.05" customHeight="1" x14ac:dyDescent="0.25">
      <c r="A345" s="19" t="s">
        <v>127</v>
      </c>
      <c r="B345" s="35">
        <v>342</v>
      </c>
      <c r="C345" s="20">
        <f t="shared" si="53"/>
        <v>0</v>
      </c>
      <c r="D345" s="20">
        <f>IF(G344=0,0,IF(G344&lt;BondCalculator!$B$12,G344+E345,BondCalculator!$B$12))</f>
        <v>0</v>
      </c>
      <c r="E345" s="20">
        <f>C345*BondCalculator!$B$5/12</f>
        <v>0</v>
      </c>
      <c r="F345" s="20">
        <f t="shared" si="45"/>
        <v>0</v>
      </c>
      <c r="G345" s="20">
        <f t="shared" si="51"/>
        <v>0</v>
      </c>
      <c r="H345" s="26">
        <f t="shared" si="52"/>
        <v>0</v>
      </c>
      <c r="J345" s="22">
        <f t="shared" si="46"/>
        <v>0</v>
      </c>
      <c r="K345" s="22">
        <f>IF(N344=0,0,IF(N344&lt;BondCalculator!$B$12+BondCalculator!$B$7,N344+L345,BondCalculator!$B$12+BondCalculator!$B$7))</f>
        <v>0</v>
      </c>
      <c r="L345" s="22">
        <f>J345*BondCalculator!$B$5/12</f>
        <v>0</v>
      </c>
      <c r="M345" s="22">
        <f t="shared" si="47"/>
        <v>0</v>
      </c>
      <c r="N345" s="22">
        <f t="shared" si="48"/>
        <v>0</v>
      </c>
      <c r="P345" s="22">
        <f t="shared" si="49"/>
        <v>0</v>
      </c>
      <c r="Q345" s="23">
        <f>-PV(BondCalculator!$B$9/12,B345,0,1,0)</f>
        <v>0.1816380702627268</v>
      </c>
      <c r="S345" s="24">
        <f t="shared" si="50"/>
        <v>0</v>
      </c>
    </row>
    <row r="346" spans="1:19" ht="16.05" customHeight="1" x14ac:dyDescent="0.25">
      <c r="A346" s="19" t="s">
        <v>127</v>
      </c>
      <c r="B346" s="35">
        <v>343</v>
      </c>
      <c r="C346" s="20">
        <f t="shared" si="53"/>
        <v>0</v>
      </c>
      <c r="D346" s="20">
        <f>IF(G345=0,0,IF(G345&lt;BondCalculator!$B$12,G345+E346,BondCalculator!$B$12))</f>
        <v>0</v>
      </c>
      <c r="E346" s="20">
        <f>C346*BondCalculator!$B$5/12</f>
        <v>0</v>
      </c>
      <c r="F346" s="20">
        <f t="shared" si="45"/>
        <v>0</v>
      </c>
      <c r="G346" s="20">
        <f t="shared" si="51"/>
        <v>0</v>
      </c>
      <c r="H346" s="26">
        <f t="shared" si="52"/>
        <v>0</v>
      </c>
      <c r="J346" s="22">
        <f t="shared" si="46"/>
        <v>0</v>
      </c>
      <c r="K346" s="22">
        <f>IF(N345=0,0,IF(N345&lt;BondCalculator!$B$12+BondCalculator!$B$7,N345+L346,BondCalculator!$B$12+BondCalculator!$B$7))</f>
        <v>0</v>
      </c>
      <c r="L346" s="22">
        <f>J346*BondCalculator!$B$5/12</f>
        <v>0</v>
      </c>
      <c r="M346" s="22">
        <f t="shared" si="47"/>
        <v>0</v>
      </c>
      <c r="N346" s="22">
        <f t="shared" si="48"/>
        <v>0</v>
      </c>
      <c r="P346" s="22">
        <f t="shared" si="49"/>
        <v>0</v>
      </c>
      <c r="Q346" s="23">
        <f>-PV(BondCalculator!$B$9/12,B346,0,1,0)</f>
        <v>0.18073439827136997</v>
      </c>
      <c r="S346" s="24">
        <f t="shared" si="50"/>
        <v>0</v>
      </c>
    </row>
    <row r="347" spans="1:19" ht="16.05" customHeight="1" x14ac:dyDescent="0.25">
      <c r="A347" s="19" t="s">
        <v>127</v>
      </c>
      <c r="B347" s="35">
        <v>344</v>
      </c>
      <c r="C347" s="20">
        <f t="shared" si="53"/>
        <v>0</v>
      </c>
      <c r="D347" s="20">
        <f>IF(G346=0,0,IF(G346&lt;BondCalculator!$B$12,G346+E347,BondCalculator!$B$12))</f>
        <v>0</v>
      </c>
      <c r="E347" s="20">
        <f>C347*BondCalculator!$B$5/12</f>
        <v>0</v>
      </c>
      <c r="F347" s="20">
        <f t="shared" si="45"/>
        <v>0</v>
      </c>
      <c r="G347" s="20">
        <f t="shared" si="51"/>
        <v>0</v>
      </c>
      <c r="H347" s="26">
        <f t="shared" si="52"/>
        <v>0</v>
      </c>
      <c r="J347" s="22">
        <f t="shared" si="46"/>
        <v>0</v>
      </c>
      <c r="K347" s="22">
        <f>IF(N346=0,0,IF(N346&lt;BondCalculator!$B$12+BondCalculator!$B$7,N346+L347,BondCalculator!$B$12+BondCalculator!$B$7))</f>
        <v>0</v>
      </c>
      <c r="L347" s="22">
        <f>J347*BondCalculator!$B$5/12</f>
        <v>0</v>
      </c>
      <c r="M347" s="22">
        <f t="shared" si="47"/>
        <v>0</v>
      </c>
      <c r="N347" s="22">
        <f t="shared" si="48"/>
        <v>0</v>
      </c>
      <c r="P347" s="22">
        <f t="shared" si="49"/>
        <v>0</v>
      </c>
      <c r="Q347" s="23">
        <f>-PV(BondCalculator!$B$9/12,B347,0,1,0)</f>
        <v>0.17983522216056713</v>
      </c>
      <c r="S347" s="24">
        <f t="shared" si="50"/>
        <v>0</v>
      </c>
    </row>
    <row r="348" spans="1:19" ht="16.05" customHeight="1" x14ac:dyDescent="0.25">
      <c r="A348" s="19" t="s">
        <v>127</v>
      </c>
      <c r="B348" s="35">
        <v>345</v>
      </c>
      <c r="C348" s="20">
        <f t="shared" si="53"/>
        <v>0</v>
      </c>
      <c r="D348" s="20">
        <f>IF(G347=0,0,IF(G347&lt;BondCalculator!$B$12,G347+E348,BondCalculator!$B$12))</f>
        <v>0</v>
      </c>
      <c r="E348" s="20">
        <f>C348*BondCalculator!$B$5/12</f>
        <v>0</v>
      </c>
      <c r="F348" s="20">
        <f t="shared" si="45"/>
        <v>0</v>
      </c>
      <c r="G348" s="20">
        <f t="shared" si="51"/>
        <v>0</v>
      </c>
      <c r="H348" s="26">
        <f t="shared" si="52"/>
        <v>0</v>
      </c>
      <c r="J348" s="22">
        <f t="shared" si="46"/>
        <v>0</v>
      </c>
      <c r="K348" s="22">
        <f>IF(N347=0,0,IF(N347&lt;BondCalculator!$B$12+BondCalculator!$B$7,N347+L348,BondCalculator!$B$12+BondCalculator!$B$7))</f>
        <v>0</v>
      </c>
      <c r="L348" s="22">
        <f>J348*BondCalculator!$B$5/12</f>
        <v>0</v>
      </c>
      <c r="M348" s="22">
        <f t="shared" si="47"/>
        <v>0</v>
      </c>
      <c r="N348" s="22">
        <f t="shared" si="48"/>
        <v>0</v>
      </c>
      <c r="P348" s="22">
        <f t="shared" si="49"/>
        <v>0</v>
      </c>
      <c r="Q348" s="23">
        <f>-PV(BondCalculator!$B$9/12,B348,0,1,0)</f>
        <v>0.17894051956275339</v>
      </c>
      <c r="S348" s="24">
        <f t="shared" si="50"/>
        <v>0</v>
      </c>
    </row>
    <row r="349" spans="1:19" ht="16.05" customHeight="1" x14ac:dyDescent="0.25">
      <c r="A349" s="19" t="s">
        <v>127</v>
      </c>
      <c r="B349" s="35">
        <v>346</v>
      </c>
      <c r="C349" s="20">
        <f t="shared" si="53"/>
        <v>0</v>
      </c>
      <c r="D349" s="20">
        <f>IF(G348=0,0,IF(G348&lt;BondCalculator!$B$12,G348+E349,BondCalculator!$B$12))</f>
        <v>0</v>
      </c>
      <c r="E349" s="20">
        <f>C349*BondCalculator!$B$5/12</f>
        <v>0</v>
      </c>
      <c r="F349" s="20">
        <f t="shared" si="45"/>
        <v>0</v>
      </c>
      <c r="G349" s="20">
        <f t="shared" si="51"/>
        <v>0</v>
      </c>
      <c r="H349" s="26">
        <f t="shared" si="52"/>
        <v>0</v>
      </c>
      <c r="J349" s="22">
        <f t="shared" si="46"/>
        <v>0</v>
      </c>
      <c r="K349" s="22">
        <f>IF(N348=0,0,IF(N348&lt;BondCalculator!$B$12+BondCalculator!$B$7,N348+L349,BondCalculator!$B$12+BondCalculator!$B$7))</f>
        <v>0</v>
      </c>
      <c r="L349" s="22">
        <f>J349*BondCalculator!$B$5/12</f>
        <v>0</v>
      </c>
      <c r="M349" s="22">
        <f t="shared" si="47"/>
        <v>0</v>
      </c>
      <c r="N349" s="22">
        <f t="shared" si="48"/>
        <v>0</v>
      </c>
      <c r="P349" s="22">
        <f t="shared" si="49"/>
        <v>0</v>
      </c>
      <c r="Q349" s="23">
        <f>-PV(BondCalculator!$B$9/12,B349,0,1,0)</f>
        <v>0.17805026822164519</v>
      </c>
      <c r="S349" s="24">
        <f t="shared" si="50"/>
        <v>0</v>
      </c>
    </row>
    <row r="350" spans="1:19" ht="16.05" customHeight="1" x14ac:dyDescent="0.25">
      <c r="A350" s="19" t="s">
        <v>127</v>
      </c>
      <c r="B350" s="35">
        <v>347</v>
      </c>
      <c r="C350" s="20">
        <f t="shared" si="53"/>
        <v>0</v>
      </c>
      <c r="D350" s="20">
        <f>IF(G349=0,0,IF(G349&lt;BondCalculator!$B$12,G349+E350,BondCalculator!$B$12))</f>
        <v>0</v>
      </c>
      <c r="E350" s="20">
        <f>C350*BondCalculator!$B$5/12</f>
        <v>0</v>
      </c>
      <c r="F350" s="20">
        <f t="shared" si="45"/>
        <v>0</v>
      </c>
      <c r="G350" s="20">
        <f t="shared" si="51"/>
        <v>0</v>
      </c>
      <c r="H350" s="26">
        <f t="shared" si="52"/>
        <v>0</v>
      </c>
      <c r="J350" s="22">
        <f t="shared" si="46"/>
        <v>0</v>
      </c>
      <c r="K350" s="22">
        <f>IF(N349=0,0,IF(N349&lt;BondCalculator!$B$12+BondCalculator!$B$7,N349+L350,BondCalculator!$B$12+BondCalculator!$B$7))</f>
        <v>0</v>
      </c>
      <c r="L350" s="22">
        <f>J350*BondCalculator!$B$5/12</f>
        <v>0</v>
      </c>
      <c r="M350" s="22">
        <f t="shared" si="47"/>
        <v>0</v>
      </c>
      <c r="N350" s="22">
        <f t="shared" si="48"/>
        <v>0</v>
      </c>
      <c r="P350" s="22">
        <f t="shared" si="49"/>
        <v>0</v>
      </c>
      <c r="Q350" s="23">
        <f>-PV(BondCalculator!$B$9/12,B350,0,1,0)</f>
        <v>0.17716444599168679</v>
      </c>
      <c r="S350" s="24">
        <f t="shared" si="50"/>
        <v>0</v>
      </c>
    </row>
    <row r="351" spans="1:19" ht="16.05" customHeight="1" x14ac:dyDescent="0.25">
      <c r="A351" s="19" t="s">
        <v>127</v>
      </c>
      <c r="B351" s="35">
        <v>348</v>
      </c>
      <c r="C351" s="20">
        <f t="shared" si="53"/>
        <v>0</v>
      </c>
      <c r="D351" s="20">
        <f>IF(G350=0,0,IF(G350&lt;BondCalculator!$B$12,G350+E351,BondCalculator!$B$12))</f>
        <v>0</v>
      </c>
      <c r="E351" s="20">
        <f>C351*BondCalculator!$B$5/12</f>
        <v>0</v>
      </c>
      <c r="F351" s="20">
        <f t="shared" si="45"/>
        <v>0</v>
      </c>
      <c r="G351" s="20">
        <f t="shared" si="51"/>
        <v>0</v>
      </c>
      <c r="H351" s="26">
        <f t="shared" si="52"/>
        <v>0</v>
      </c>
      <c r="J351" s="22">
        <f t="shared" si="46"/>
        <v>0</v>
      </c>
      <c r="K351" s="22">
        <f>IF(N350=0,0,IF(N350&lt;BondCalculator!$B$12+BondCalculator!$B$7,N350+L351,BondCalculator!$B$12+BondCalculator!$B$7))</f>
        <v>0</v>
      </c>
      <c r="L351" s="22">
        <f>J351*BondCalculator!$B$5/12</f>
        <v>0</v>
      </c>
      <c r="M351" s="22">
        <f t="shared" si="47"/>
        <v>0</v>
      </c>
      <c r="N351" s="22">
        <f t="shared" si="48"/>
        <v>0</v>
      </c>
      <c r="P351" s="22">
        <f t="shared" si="49"/>
        <v>0</v>
      </c>
      <c r="Q351" s="23">
        <f>-PV(BondCalculator!$B$9/12,B351,0,1,0)</f>
        <v>0.17628303083749933</v>
      </c>
      <c r="S351" s="24">
        <f t="shared" si="50"/>
        <v>0</v>
      </c>
    </row>
    <row r="352" spans="1:19" ht="16.05" customHeight="1" x14ac:dyDescent="0.25">
      <c r="A352" s="19" t="s">
        <v>128</v>
      </c>
      <c r="B352" s="35">
        <v>349</v>
      </c>
      <c r="C352" s="20">
        <f t="shared" si="53"/>
        <v>0</v>
      </c>
      <c r="D352" s="20">
        <f>IF(G351=0,0,IF(G351&lt;BondCalculator!$B$12,G351+E352,BondCalculator!$B$12))</f>
        <v>0</v>
      </c>
      <c r="E352" s="20">
        <f>C352*BondCalculator!$B$5/12</f>
        <v>0</v>
      </c>
      <c r="F352" s="20">
        <f t="shared" si="45"/>
        <v>0</v>
      </c>
      <c r="G352" s="20">
        <f t="shared" si="51"/>
        <v>0</v>
      </c>
      <c r="H352" s="26">
        <f t="shared" si="52"/>
        <v>0</v>
      </c>
      <c r="J352" s="22">
        <f t="shared" si="46"/>
        <v>0</v>
      </c>
      <c r="K352" s="22">
        <f>IF(N351=0,0,IF(N351&lt;BondCalculator!$B$12+BondCalculator!$B$7,N351+L352,BondCalculator!$B$12+BondCalculator!$B$7))</f>
        <v>0</v>
      </c>
      <c r="L352" s="22">
        <f>J352*BondCalculator!$B$5/12</f>
        <v>0</v>
      </c>
      <c r="M352" s="22">
        <f t="shared" si="47"/>
        <v>0</v>
      </c>
      <c r="N352" s="22">
        <f t="shared" si="48"/>
        <v>0</v>
      </c>
      <c r="P352" s="22">
        <f t="shared" si="49"/>
        <v>0</v>
      </c>
      <c r="Q352" s="23">
        <f>-PV(BondCalculator!$B$9/12,B352,0,1,0)</f>
        <v>0.17540600083333269</v>
      </c>
      <c r="S352" s="24">
        <f t="shared" si="50"/>
        <v>0</v>
      </c>
    </row>
    <row r="353" spans="1:19" ht="16.05" customHeight="1" x14ac:dyDescent="0.25">
      <c r="A353" s="19" t="s">
        <v>128</v>
      </c>
      <c r="B353" s="35">
        <v>350</v>
      </c>
      <c r="C353" s="20">
        <f t="shared" si="53"/>
        <v>0</v>
      </c>
      <c r="D353" s="20">
        <f>IF(G352=0,0,IF(G352&lt;BondCalculator!$B$12,G352+E353,BondCalculator!$B$12))</f>
        <v>0</v>
      </c>
      <c r="E353" s="20">
        <f>C353*BondCalculator!$B$5/12</f>
        <v>0</v>
      </c>
      <c r="F353" s="20">
        <f t="shared" si="45"/>
        <v>0</v>
      </c>
      <c r="G353" s="20">
        <f t="shared" si="51"/>
        <v>0</v>
      </c>
      <c r="H353" s="26">
        <f t="shared" si="52"/>
        <v>0</v>
      </c>
      <c r="J353" s="22">
        <f t="shared" si="46"/>
        <v>0</v>
      </c>
      <c r="K353" s="22">
        <f>IF(N352=0,0,IF(N352&lt;BondCalculator!$B$12+BondCalculator!$B$7,N352+L353,BondCalculator!$B$12+BondCalculator!$B$7))</f>
        <v>0</v>
      </c>
      <c r="L353" s="22">
        <f>J353*BondCalculator!$B$5/12</f>
        <v>0</v>
      </c>
      <c r="M353" s="22">
        <f t="shared" si="47"/>
        <v>0</v>
      </c>
      <c r="N353" s="22">
        <f t="shared" si="48"/>
        <v>0</v>
      </c>
      <c r="P353" s="22">
        <f t="shared" si="49"/>
        <v>0</v>
      </c>
      <c r="Q353" s="23">
        <f>-PV(BondCalculator!$B$9/12,B353,0,1,0)</f>
        <v>0.17453333416252012</v>
      </c>
      <c r="S353" s="24">
        <f t="shared" si="50"/>
        <v>0</v>
      </c>
    </row>
    <row r="354" spans="1:19" ht="16.05" customHeight="1" x14ac:dyDescent="0.25">
      <c r="A354" s="19" t="s">
        <v>128</v>
      </c>
      <c r="B354" s="35">
        <v>351</v>
      </c>
      <c r="C354" s="20">
        <f t="shared" si="53"/>
        <v>0</v>
      </c>
      <c r="D354" s="20">
        <f>IF(G353=0,0,IF(G353&lt;BondCalculator!$B$12,G353+E354,BondCalculator!$B$12))</f>
        <v>0</v>
      </c>
      <c r="E354" s="20">
        <f>C354*BondCalculator!$B$5/12</f>
        <v>0</v>
      </c>
      <c r="F354" s="20">
        <f t="shared" si="45"/>
        <v>0</v>
      </c>
      <c r="G354" s="20">
        <f t="shared" si="51"/>
        <v>0</v>
      </c>
      <c r="H354" s="26">
        <f t="shared" si="52"/>
        <v>0</v>
      </c>
      <c r="J354" s="22">
        <f t="shared" si="46"/>
        <v>0</v>
      </c>
      <c r="K354" s="22">
        <f>IF(N353=0,0,IF(N353&lt;BondCalculator!$B$12+BondCalculator!$B$7,N353+L354,BondCalculator!$B$12+BondCalculator!$B$7))</f>
        <v>0</v>
      </c>
      <c r="L354" s="22">
        <f>J354*BondCalculator!$B$5/12</f>
        <v>0</v>
      </c>
      <c r="M354" s="22">
        <f t="shared" si="47"/>
        <v>0</v>
      </c>
      <c r="N354" s="22">
        <f t="shared" si="48"/>
        <v>0</v>
      </c>
      <c r="P354" s="22">
        <f t="shared" si="49"/>
        <v>0</v>
      </c>
      <c r="Q354" s="23">
        <f>-PV(BondCalculator!$B$9/12,B354,0,1,0)</f>
        <v>0.1736650091169355</v>
      </c>
      <c r="S354" s="24">
        <f t="shared" si="50"/>
        <v>0</v>
      </c>
    </row>
    <row r="355" spans="1:19" ht="16.05" customHeight="1" x14ac:dyDescent="0.25">
      <c r="A355" s="19" t="s">
        <v>128</v>
      </c>
      <c r="B355" s="35">
        <v>352</v>
      </c>
      <c r="C355" s="20">
        <f t="shared" si="53"/>
        <v>0</v>
      </c>
      <c r="D355" s="20">
        <f>IF(G354=0,0,IF(G354&lt;BondCalculator!$B$12,G354+E355,BondCalculator!$B$12))</f>
        <v>0</v>
      </c>
      <c r="E355" s="20">
        <f>C355*BondCalculator!$B$5/12</f>
        <v>0</v>
      </c>
      <c r="F355" s="20">
        <f t="shared" si="45"/>
        <v>0</v>
      </c>
      <c r="G355" s="20">
        <f t="shared" si="51"/>
        <v>0</v>
      </c>
      <c r="H355" s="26">
        <f t="shared" si="52"/>
        <v>0</v>
      </c>
      <c r="J355" s="22">
        <f t="shared" si="46"/>
        <v>0</v>
      </c>
      <c r="K355" s="22">
        <f>IF(N354=0,0,IF(N354&lt;BondCalculator!$B$12+BondCalculator!$B$7,N354+L355,BondCalculator!$B$12+BondCalculator!$B$7))</f>
        <v>0</v>
      </c>
      <c r="L355" s="22">
        <f>J355*BondCalculator!$B$5/12</f>
        <v>0</v>
      </c>
      <c r="M355" s="22">
        <f t="shared" si="47"/>
        <v>0</v>
      </c>
      <c r="N355" s="22">
        <f t="shared" si="48"/>
        <v>0</v>
      </c>
      <c r="P355" s="22">
        <f t="shared" si="49"/>
        <v>0</v>
      </c>
      <c r="Q355" s="23">
        <f>-PV(BondCalculator!$B$9/12,B355,0,1,0)</f>
        <v>0.17280100409645324</v>
      </c>
      <c r="S355" s="24">
        <f t="shared" si="50"/>
        <v>0</v>
      </c>
    </row>
    <row r="356" spans="1:19" ht="16.05" customHeight="1" x14ac:dyDescent="0.25">
      <c r="A356" s="19" t="s">
        <v>128</v>
      </c>
      <c r="B356" s="35">
        <v>353</v>
      </c>
      <c r="C356" s="20">
        <f t="shared" si="53"/>
        <v>0</v>
      </c>
      <c r="D356" s="20">
        <f>IF(G355=0,0,IF(G355&lt;BondCalculator!$B$12,G355+E356,BondCalculator!$B$12))</f>
        <v>0</v>
      </c>
      <c r="E356" s="20">
        <f>C356*BondCalculator!$B$5/12</f>
        <v>0</v>
      </c>
      <c r="F356" s="20">
        <f t="shared" si="45"/>
        <v>0</v>
      </c>
      <c r="G356" s="20">
        <f t="shared" si="51"/>
        <v>0</v>
      </c>
      <c r="H356" s="26">
        <f t="shared" si="52"/>
        <v>0</v>
      </c>
      <c r="J356" s="22">
        <f t="shared" si="46"/>
        <v>0</v>
      </c>
      <c r="K356" s="22">
        <f>IF(N355=0,0,IF(N355&lt;BondCalculator!$B$12+BondCalculator!$B$7,N355+L356,BondCalculator!$B$12+BondCalculator!$B$7))</f>
        <v>0</v>
      </c>
      <c r="L356" s="22">
        <f>J356*BondCalculator!$B$5/12</f>
        <v>0</v>
      </c>
      <c r="M356" s="22">
        <f t="shared" si="47"/>
        <v>0</v>
      </c>
      <c r="N356" s="22">
        <f t="shared" si="48"/>
        <v>0</v>
      </c>
      <c r="P356" s="22">
        <f t="shared" si="49"/>
        <v>0</v>
      </c>
      <c r="Q356" s="23">
        <f>-PV(BondCalculator!$B$9/12,B356,0,1,0)</f>
        <v>0.1719412976084112</v>
      </c>
      <c r="S356" s="24">
        <f t="shared" si="50"/>
        <v>0</v>
      </c>
    </row>
    <row r="357" spans="1:19" ht="16.05" customHeight="1" x14ac:dyDescent="0.25">
      <c r="A357" s="19" t="s">
        <v>128</v>
      </c>
      <c r="B357" s="35">
        <v>354</v>
      </c>
      <c r="C357" s="20">
        <f t="shared" si="53"/>
        <v>0</v>
      </c>
      <c r="D357" s="20">
        <f>IF(G356=0,0,IF(G356&lt;BondCalculator!$B$12,G356+E357,BondCalculator!$B$12))</f>
        <v>0</v>
      </c>
      <c r="E357" s="20">
        <f>C357*BondCalculator!$B$5/12</f>
        <v>0</v>
      </c>
      <c r="F357" s="20">
        <f t="shared" si="45"/>
        <v>0</v>
      </c>
      <c r="G357" s="20">
        <f t="shared" si="51"/>
        <v>0</v>
      </c>
      <c r="H357" s="26">
        <f t="shared" si="52"/>
        <v>0</v>
      </c>
      <c r="J357" s="22">
        <f t="shared" si="46"/>
        <v>0</v>
      </c>
      <c r="K357" s="22">
        <f>IF(N356=0,0,IF(N356&lt;BondCalculator!$B$12+BondCalculator!$B$7,N356+L357,BondCalculator!$B$12+BondCalculator!$B$7))</f>
        <v>0</v>
      </c>
      <c r="L357" s="22">
        <f>J357*BondCalculator!$B$5/12</f>
        <v>0</v>
      </c>
      <c r="M357" s="22">
        <f t="shared" si="47"/>
        <v>0</v>
      </c>
      <c r="N357" s="22">
        <f t="shared" si="48"/>
        <v>0</v>
      </c>
      <c r="P357" s="22">
        <f t="shared" si="49"/>
        <v>0</v>
      </c>
      <c r="Q357" s="23">
        <f>-PV(BondCalculator!$B$9/12,B357,0,1,0)</f>
        <v>0.17108586826707584</v>
      </c>
      <c r="S357" s="24">
        <f t="shared" si="50"/>
        <v>0</v>
      </c>
    </row>
    <row r="358" spans="1:19" ht="16.05" customHeight="1" x14ac:dyDescent="0.25">
      <c r="A358" s="19" t="s">
        <v>128</v>
      </c>
      <c r="B358" s="35">
        <v>355</v>
      </c>
      <c r="C358" s="20">
        <f t="shared" si="53"/>
        <v>0</v>
      </c>
      <c r="D358" s="20">
        <f>IF(G357=0,0,IF(G357&lt;BondCalculator!$B$12,G357+E358,BondCalculator!$B$12))</f>
        <v>0</v>
      </c>
      <c r="E358" s="20">
        <f>C358*BondCalculator!$B$5/12</f>
        <v>0</v>
      </c>
      <c r="F358" s="20">
        <f t="shared" si="45"/>
        <v>0</v>
      </c>
      <c r="G358" s="20">
        <f t="shared" si="51"/>
        <v>0</v>
      </c>
      <c r="H358" s="26">
        <f t="shared" si="52"/>
        <v>0</v>
      </c>
      <c r="J358" s="22">
        <f t="shared" si="46"/>
        <v>0</v>
      </c>
      <c r="K358" s="22">
        <f>IF(N357=0,0,IF(N357&lt;BondCalculator!$B$12+BondCalculator!$B$7,N357+L358,BondCalculator!$B$12+BondCalculator!$B$7))</f>
        <v>0</v>
      </c>
      <c r="L358" s="22">
        <f>J358*BondCalculator!$B$5/12</f>
        <v>0</v>
      </c>
      <c r="M358" s="22">
        <f t="shared" si="47"/>
        <v>0</v>
      </c>
      <c r="N358" s="22">
        <f t="shared" si="48"/>
        <v>0</v>
      </c>
      <c r="P358" s="22">
        <f t="shared" si="49"/>
        <v>0</v>
      </c>
      <c r="Q358" s="23">
        <f>-PV(BondCalculator!$B$9/12,B358,0,1,0)</f>
        <v>0.17023469479311029</v>
      </c>
      <c r="S358" s="24">
        <f t="shared" si="50"/>
        <v>0</v>
      </c>
    </row>
    <row r="359" spans="1:19" ht="16.05" customHeight="1" x14ac:dyDescent="0.25">
      <c r="A359" s="19" t="s">
        <v>128</v>
      </c>
      <c r="B359" s="35">
        <v>356</v>
      </c>
      <c r="C359" s="20">
        <f t="shared" si="53"/>
        <v>0</v>
      </c>
      <c r="D359" s="20">
        <f>IF(G358=0,0,IF(G358&lt;BondCalculator!$B$12,G358+E359,BondCalculator!$B$12))</f>
        <v>0</v>
      </c>
      <c r="E359" s="20">
        <f>C359*BondCalculator!$B$5/12</f>
        <v>0</v>
      </c>
      <c r="F359" s="20">
        <f t="shared" si="45"/>
        <v>0</v>
      </c>
      <c r="G359" s="20">
        <f t="shared" si="51"/>
        <v>0</v>
      </c>
      <c r="H359" s="26">
        <f t="shared" si="52"/>
        <v>0</v>
      </c>
      <c r="J359" s="22">
        <f t="shared" si="46"/>
        <v>0</v>
      </c>
      <c r="K359" s="22">
        <f>IF(N358=0,0,IF(N358&lt;BondCalculator!$B$12+BondCalculator!$B$7,N358+L359,BondCalculator!$B$12+BondCalculator!$B$7))</f>
        <v>0</v>
      </c>
      <c r="L359" s="22">
        <f>J359*BondCalculator!$B$5/12</f>
        <v>0</v>
      </c>
      <c r="M359" s="22">
        <f t="shared" si="47"/>
        <v>0</v>
      </c>
      <c r="N359" s="22">
        <f t="shared" si="48"/>
        <v>0</v>
      </c>
      <c r="P359" s="22">
        <f t="shared" si="49"/>
        <v>0</v>
      </c>
      <c r="Q359" s="23">
        <f>-PV(BondCalculator!$B$9/12,B359,0,1,0)</f>
        <v>0.16938775601304512</v>
      </c>
      <c r="S359" s="24">
        <f t="shared" si="50"/>
        <v>0</v>
      </c>
    </row>
    <row r="360" spans="1:19" ht="16.05" customHeight="1" x14ac:dyDescent="0.25">
      <c r="A360" s="19" t="s">
        <v>128</v>
      </c>
      <c r="B360" s="35">
        <v>357</v>
      </c>
      <c r="C360" s="20">
        <f t="shared" si="53"/>
        <v>0</v>
      </c>
      <c r="D360" s="20">
        <f>IF(G359=0,0,IF(G359&lt;BondCalculator!$B$12,G359+E360,BondCalculator!$B$12))</f>
        <v>0</v>
      </c>
      <c r="E360" s="20">
        <f>C360*BondCalculator!$B$5/12</f>
        <v>0</v>
      </c>
      <c r="F360" s="20">
        <f t="shared" si="45"/>
        <v>0</v>
      </c>
      <c r="G360" s="20">
        <f t="shared" si="51"/>
        <v>0</v>
      </c>
      <c r="H360" s="26">
        <f t="shared" si="52"/>
        <v>0</v>
      </c>
      <c r="J360" s="22">
        <f t="shared" si="46"/>
        <v>0</v>
      </c>
      <c r="K360" s="22">
        <f>IF(N359=0,0,IF(N359&lt;BondCalculator!$B$12+BondCalculator!$B$7,N359+L360,BondCalculator!$B$12+BondCalculator!$B$7))</f>
        <v>0</v>
      </c>
      <c r="L360" s="22">
        <f>J360*BondCalculator!$B$5/12</f>
        <v>0</v>
      </c>
      <c r="M360" s="22">
        <f t="shared" si="47"/>
        <v>0</v>
      </c>
      <c r="N360" s="22">
        <f t="shared" si="48"/>
        <v>0</v>
      </c>
      <c r="P360" s="22">
        <f t="shared" si="49"/>
        <v>0</v>
      </c>
      <c r="Q360" s="23">
        <f>-PV(BondCalculator!$B$9/12,B360,0,1,0)</f>
        <v>0.16854503085875142</v>
      </c>
      <c r="S360" s="24">
        <f t="shared" si="50"/>
        <v>0</v>
      </c>
    </row>
    <row r="361" spans="1:19" ht="16.05" customHeight="1" x14ac:dyDescent="0.25">
      <c r="A361" s="19" t="s">
        <v>128</v>
      </c>
      <c r="B361" s="35">
        <v>358</v>
      </c>
      <c r="C361" s="20">
        <f t="shared" si="53"/>
        <v>0</v>
      </c>
      <c r="D361" s="20">
        <f>IF(G360=0,0,IF(G360&lt;BondCalculator!$B$12,G360+E361,BondCalculator!$B$12))</f>
        <v>0</v>
      </c>
      <c r="E361" s="20">
        <f>C361*BondCalculator!$B$5/12</f>
        <v>0</v>
      </c>
      <c r="F361" s="20">
        <f t="shared" si="45"/>
        <v>0</v>
      </c>
      <c r="G361" s="20">
        <f t="shared" si="51"/>
        <v>0</v>
      </c>
      <c r="H361" s="26">
        <f t="shared" si="52"/>
        <v>0</v>
      </c>
      <c r="J361" s="22">
        <f t="shared" si="46"/>
        <v>0</v>
      </c>
      <c r="K361" s="22">
        <f>IF(N360=0,0,IF(N360&lt;BondCalculator!$B$12+BondCalculator!$B$7,N360+L361,BondCalculator!$B$12+BondCalculator!$B$7))</f>
        <v>0</v>
      </c>
      <c r="L361" s="22">
        <f>J361*BondCalculator!$B$5/12</f>
        <v>0</v>
      </c>
      <c r="M361" s="22">
        <f t="shared" si="47"/>
        <v>0</v>
      </c>
      <c r="N361" s="22">
        <f t="shared" si="48"/>
        <v>0</v>
      </c>
      <c r="P361" s="22">
        <f t="shared" si="49"/>
        <v>0</v>
      </c>
      <c r="Q361" s="23">
        <f>-PV(BondCalculator!$B$9/12,B361,0,1,0)</f>
        <v>0.16770649836691684</v>
      </c>
      <c r="S361" s="24">
        <f t="shared" si="50"/>
        <v>0</v>
      </c>
    </row>
    <row r="362" spans="1:19" ht="16.05" customHeight="1" x14ac:dyDescent="0.25">
      <c r="A362" s="19" t="s">
        <v>128</v>
      </c>
      <c r="B362" s="35">
        <v>359</v>
      </c>
      <c r="C362" s="20">
        <f t="shared" si="53"/>
        <v>0</v>
      </c>
      <c r="D362" s="20">
        <f>IF(G361=0,0,IF(G361&lt;BondCalculator!$B$12,G361+E362,BondCalculator!$B$12))</f>
        <v>0</v>
      </c>
      <c r="E362" s="20">
        <f>C362*BondCalculator!$B$5/12</f>
        <v>0</v>
      </c>
      <c r="F362" s="20">
        <f t="shared" si="45"/>
        <v>0</v>
      </c>
      <c r="G362" s="20">
        <f t="shared" si="51"/>
        <v>0</v>
      </c>
      <c r="H362" s="26">
        <f t="shared" si="52"/>
        <v>0</v>
      </c>
      <c r="J362" s="22">
        <f t="shared" si="46"/>
        <v>0</v>
      </c>
      <c r="K362" s="22">
        <f>IF(N361=0,0,IF(N361&lt;BondCalculator!$B$12+BondCalculator!$B$7,N361+L362,BondCalculator!$B$12+BondCalculator!$B$7))</f>
        <v>0</v>
      </c>
      <c r="L362" s="22">
        <f>J362*BondCalculator!$B$5/12</f>
        <v>0</v>
      </c>
      <c r="M362" s="22">
        <f t="shared" si="47"/>
        <v>0</v>
      </c>
      <c r="N362" s="22">
        <f t="shared" si="48"/>
        <v>0</v>
      </c>
      <c r="P362" s="22">
        <f t="shared" si="49"/>
        <v>0</v>
      </c>
      <c r="Q362" s="23">
        <f>-PV(BondCalculator!$B$9/12,B362,0,1,0)</f>
        <v>0.16687213767852424</v>
      </c>
      <c r="S362" s="24">
        <f t="shared" si="50"/>
        <v>0</v>
      </c>
    </row>
    <row r="363" spans="1:19" ht="16.05" customHeight="1" x14ac:dyDescent="0.25">
      <c r="A363" s="19" t="s">
        <v>128</v>
      </c>
      <c r="B363" s="35">
        <v>360</v>
      </c>
      <c r="C363" s="20">
        <f t="shared" si="53"/>
        <v>0</v>
      </c>
      <c r="D363" s="20">
        <f>IF(G362=0,0,IF(G362&lt;BondCalculator!$B$12,G362+E363,BondCalculator!$B$12))</f>
        <v>0</v>
      </c>
      <c r="E363" s="20">
        <f>C363*BondCalculator!$B$5/12</f>
        <v>0</v>
      </c>
      <c r="F363" s="20">
        <f t="shared" si="45"/>
        <v>0</v>
      </c>
      <c r="G363" s="20">
        <f t="shared" si="51"/>
        <v>0</v>
      </c>
      <c r="H363" s="26">
        <f t="shared" si="52"/>
        <v>0</v>
      </c>
      <c r="J363" s="22">
        <f t="shared" si="46"/>
        <v>0</v>
      </c>
      <c r="K363" s="22">
        <f>IF(N362=0,0,IF(N362&lt;BondCalculator!$B$12+BondCalculator!$B$7,N362+L363,BondCalculator!$B$12+BondCalculator!$B$7))</f>
        <v>0</v>
      </c>
      <c r="L363" s="22">
        <f>J363*BondCalculator!$B$5/12</f>
        <v>0</v>
      </c>
      <c r="M363" s="22">
        <f t="shared" si="47"/>
        <v>0</v>
      </c>
      <c r="N363" s="22">
        <f t="shared" si="48"/>
        <v>0</v>
      </c>
      <c r="P363" s="22">
        <f t="shared" si="49"/>
        <v>0</v>
      </c>
      <c r="Q363" s="23">
        <f>-PV(BondCalculator!$B$9/12,B363,0,1,0)</f>
        <v>0.16604192803833259</v>
      </c>
      <c r="S363" s="24">
        <f t="shared" si="50"/>
        <v>0</v>
      </c>
    </row>
    <row r="364" spans="1:19" ht="16.05" customHeight="1" x14ac:dyDescent="0.25">
      <c r="E364" s="20">
        <f>SUM(E4:E363)</f>
        <v>3693130.3542563552</v>
      </c>
      <c r="L364" s="36">
        <f>SUM(L4:L363)</f>
        <v>2797189.8248473643</v>
      </c>
      <c r="P364" s="22">
        <f>SUM(P4:P363)</f>
        <v>895940.52940898971</v>
      </c>
      <c r="S364" s="24">
        <f>SUM(S4:S363)</f>
        <v>420478.52054577257</v>
      </c>
    </row>
  </sheetData>
  <phoneticPr fontId="5" type="noConversion"/>
  <pageMargins left="0.74803149606299213" right="0.74803149606299213" top="0.98425196850393704" bottom="0.98425196850393704" header="0.51181102362204722" footer="0.51181102362204722"/>
  <pageSetup paperSize="9" scale="71" fitToHeight="6" orientation="portrait" r:id="rId1"/>
  <headerFooter alignWithMargins="0">
    <oddFooter>&amp;C&amp;"-,Regular"&amp;9Page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About</vt:lpstr>
      <vt:lpstr>Instructions</vt:lpstr>
      <vt:lpstr>BondCalculator</vt:lpstr>
      <vt:lpstr>NetDisposable</vt:lpstr>
      <vt:lpstr>AnnualAmort</vt:lpstr>
      <vt:lpstr>MonthAmort</vt:lpstr>
      <vt:lpstr>AnnualAmort!Print_Area</vt:lpstr>
      <vt:lpstr>AnnualAmort!Print_Titles</vt:lpstr>
      <vt:lpstr>Instructions!Print_Titles</vt:lpstr>
      <vt:lpstr>MonthAmort!Print_Titles</vt:lpstr>
      <vt:lpstr>NetDisposable!Print_Titles</vt:lpstr>
    </vt:vector>
  </TitlesOfParts>
  <Company>Excel Skills International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Bond Calculator - Excel Skills</dc:title>
  <dc:subject>Bond Calculator</dc:subject>
  <dc:creator>Excel Skills International</dc:creator>
  <cp:keywords>bond calculator</cp:keywords>
  <cp:lastModifiedBy>Wilhelm van Noordwyk</cp:lastModifiedBy>
  <cp:lastPrinted>2020-09-25T11:43:01Z</cp:lastPrinted>
  <dcterms:created xsi:type="dcterms:W3CDTF">2009-04-24T13:49:41Z</dcterms:created>
  <dcterms:modified xsi:type="dcterms:W3CDTF">2025-02-07T08:30:33Z</dcterms:modified>
  <cp:category>Excel 2007+</cp:category>
  <cp:contentStatus>Version 1.0</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e353b8d7-d172-473d-8422-19b1eb941636</vt:lpwstr>
  </property>
</Properties>
</file>